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0554\Desktop\Sabatini UPDATE\"/>
    </mc:Choice>
  </mc:AlternateContent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</externalReferences>
  <definedNames>
    <definedName name="_xlnm.Print_Area" localSheetId="0">Recipe!$A$1:$K$75</definedName>
  </definedNames>
  <calcPr calcId="152511"/>
</workbook>
</file>

<file path=xl/calcChain.xml><?xml version="1.0" encoding="utf-8"?>
<calcChain xmlns="http://schemas.openxmlformats.org/spreadsheetml/2006/main">
  <c r="B39" i="1" l="1"/>
  <c r="I53" i="1"/>
  <c r="J53" i="1" s="1"/>
  <c r="K53" i="1" s="1"/>
  <c r="G53" i="1"/>
  <c r="I52" i="1"/>
  <c r="J52" i="1" s="1"/>
  <c r="K52" i="1" s="1"/>
  <c r="G52" i="1"/>
  <c r="I51" i="1"/>
  <c r="J51" i="1" s="1"/>
  <c r="K51" i="1" s="1"/>
  <c r="G51" i="1"/>
  <c r="I50" i="1"/>
  <c r="J50" i="1" s="1"/>
  <c r="K50" i="1" s="1"/>
  <c r="H50" i="1"/>
  <c r="G50" i="1"/>
  <c r="I49" i="1"/>
  <c r="J49" i="1" s="1"/>
  <c r="K49" i="1" s="1"/>
  <c r="G49" i="1"/>
  <c r="I48" i="1"/>
  <c r="J48" i="1" s="1"/>
  <c r="K48" i="1" s="1"/>
  <c r="G48" i="1"/>
  <c r="I47" i="1"/>
  <c r="J47" i="1" s="1"/>
  <c r="K47" i="1" s="1"/>
  <c r="G47" i="1"/>
  <c r="I46" i="1"/>
  <c r="J46" i="1" s="1"/>
  <c r="K46" i="1" s="1"/>
  <c r="G46" i="1"/>
  <c r="I45" i="1"/>
  <c r="J45" i="1" s="1"/>
  <c r="K45" i="1" s="1"/>
  <c r="G45" i="1"/>
  <c r="I44" i="1"/>
  <c r="J44" i="1" s="1"/>
  <c r="K44" i="1" s="1"/>
  <c r="G44" i="1"/>
  <c r="I43" i="1"/>
  <c r="H43" i="1" s="1"/>
  <c r="G43" i="1"/>
  <c r="I42" i="1"/>
  <c r="H42" i="1" s="1"/>
  <c r="G42" i="1"/>
  <c r="I41" i="1"/>
  <c r="J41" i="1" s="1"/>
  <c r="K41" i="1" s="1"/>
  <c r="H41" i="1"/>
  <c r="G41" i="1"/>
  <c r="C7" i="1"/>
  <c r="H46" i="1" l="1"/>
  <c r="H45" i="1"/>
  <c r="H48" i="1"/>
  <c r="H51" i="1"/>
  <c r="J43" i="1"/>
  <c r="K43" i="1" s="1"/>
  <c r="L52" i="1"/>
  <c r="H52" i="1" s="1"/>
  <c r="L46" i="1"/>
  <c r="L49" i="1"/>
  <c r="H49" i="1" s="1"/>
  <c r="J42" i="1"/>
  <c r="K42" i="1" s="1"/>
  <c r="H44" i="1"/>
  <c r="H47" i="1"/>
  <c r="H53" i="1"/>
  <c r="I57" i="1"/>
  <c r="H57" i="1" s="1"/>
  <c r="G57" i="1"/>
  <c r="I56" i="1"/>
  <c r="L56" i="1" s="1"/>
  <c r="H56" i="1" s="1"/>
  <c r="G56" i="1"/>
  <c r="I55" i="1"/>
  <c r="J55" i="1" s="1"/>
  <c r="K55" i="1" s="1"/>
  <c r="G55" i="1"/>
  <c r="I54" i="1"/>
  <c r="J54" i="1" s="1"/>
  <c r="K54" i="1" s="1"/>
  <c r="H54" i="1"/>
  <c r="G54" i="1"/>
  <c r="G36" i="1"/>
  <c r="I36" i="1"/>
  <c r="H36" i="1" s="1"/>
  <c r="J56" i="1" l="1"/>
  <c r="K56" i="1" s="1"/>
  <c r="J57" i="1"/>
  <c r="K57" i="1" s="1"/>
  <c r="H55" i="1"/>
  <c r="J36" i="1"/>
  <c r="K36" i="1" s="1"/>
  <c r="G21" i="1" l="1"/>
  <c r="I21" i="1"/>
  <c r="H21" i="1" s="1"/>
  <c r="G22" i="1"/>
  <c r="I22" i="1"/>
  <c r="J22" i="1" s="1"/>
  <c r="K22" i="1" s="1"/>
  <c r="G23" i="1"/>
  <c r="I23" i="1"/>
  <c r="H23" i="1" s="1"/>
  <c r="G24" i="1"/>
  <c r="I24" i="1"/>
  <c r="H24" i="1" s="1"/>
  <c r="G25" i="1"/>
  <c r="I25" i="1"/>
  <c r="H25" i="1" s="1"/>
  <c r="G26" i="1"/>
  <c r="H26" i="1"/>
  <c r="I26" i="1"/>
  <c r="J26" i="1" s="1"/>
  <c r="K26" i="1" s="1"/>
  <c r="G28" i="1"/>
  <c r="H28" i="1"/>
  <c r="I28" i="1"/>
  <c r="J28" i="1" s="1"/>
  <c r="K28" i="1" s="1"/>
  <c r="G29" i="1"/>
  <c r="I29" i="1"/>
  <c r="J29" i="1" s="1"/>
  <c r="K29" i="1" s="1"/>
  <c r="G30" i="1"/>
  <c r="I30" i="1"/>
  <c r="H30" i="1" s="1"/>
  <c r="G31" i="1"/>
  <c r="I31" i="1"/>
  <c r="J31" i="1" s="1"/>
  <c r="K31" i="1" s="1"/>
  <c r="G32" i="1"/>
  <c r="I32" i="1"/>
  <c r="H32" i="1" s="1"/>
  <c r="G33" i="1"/>
  <c r="I33" i="1"/>
  <c r="G34" i="1"/>
  <c r="I34" i="1"/>
  <c r="H34" i="1" s="1"/>
  <c r="G35" i="1"/>
  <c r="I35" i="1"/>
  <c r="J35" i="1" s="1"/>
  <c r="K35" i="1" s="1"/>
  <c r="G37" i="1"/>
  <c r="I37" i="1"/>
  <c r="J37" i="1" s="1"/>
  <c r="K37" i="1" s="1"/>
  <c r="G17" i="1"/>
  <c r="H17" i="1"/>
  <c r="I17" i="1"/>
  <c r="J17" i="1" s="1"/>
  <c r="K17" i="1" s="1"/>
  <c r="G18" i="1"/>
  <c r="I18" i="1"/>
  <c r="H18" i="1" s="1"/>
  <c r="G19" i="1"/>
  <c r="I19" i="1"/>
  <c r="J19" i="1" s="1"/>
  <c r="K19" i="1" s="1"/>
  <c r="G20" i="1"/>
  <c r="I20" i="1"/>
  <c r="H20" i="1" s="1"/>
  <c r="H29" i="1" l="1"/>
  <c r="H31" i="1"/>
  <c r="H19" i="1"/>
  <c r="J18" i="1"/>
  <c r="K18" i="1" s="1"/>
  <c r="H35" i="1"/>
  <c r="J24" i="1"/>
  <c r="K24" i="1" s="1"/>
  <c r="J23" i="1"/>
  <c r="K23" i="1" s="1"/>
  <c r="J20" i="1"/>
  <c r="K20" i="1" s="1"/>
  <c r="J33" i="1"/>
  <c r="K33" i="1" s="1"/>
  <c r="J32" i="1"/>
  <c r="K32" i="1" s="1"/>
  <c r="H22" i="1"/>
  <c r="J34" i="1"/>
  <c r="K34" i="1" s="1"/>
  <c r="J30" i="1"/>
  <c r="K30" i="1" s="1"/>
  <c r="J25" i="1"/>
  <c r="K25" i="1" s="1"/>
  <c r="J21" i="1"/>
  <c r="K21" i="1" s="1"/>
  <c r="C5" i="1" l="1"/>
  <c r="A20" i="1" s="1"/>
  <c r="E8" i="1"/>
  <c r="C6" i="1"/>
  <c r="A37" i="1" l="1"/>
  <c r="A29" i="1"/>
  <c r="A38" i="1"/>
  <c r="A24" i="1"/>
  <c r="J80" i="1" l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G74" i="1"/>
  <c r="J73" i="1"/>
  <c r="I73" i="1"/>
  <c r="G73" i="1"/>
  <c r="J72" i="1"/>
  <c r="I72" i="1"/>
  <c r="J71" i="1"/>
  <c r="I71" i="1"/>
  <c r="J70" i="1"/>
  <c r="I70" i="1"/>
  <c r="J69" i="1"/>
  <c r="I69" i="1"/>
  <c r="J65" i="1"/>
  <c r="I65" i="1"/>
  <c r="J63" i="1"/>
  <c r="I63" i="1"/>
  <c r="J61" i="1"/>
  <c r="I61" i="1"/>
  <c r="J40" i="1"/>
  <c r="I40" i="1"/>
  <c r="J39" i="1"/>
  <c r="I39" i="1"/>
  <c r="G75" i="1" l="1"/>
  <c r="G76" i="1"/>
  <c r="G77" i="1"/>
  <c r="G78" i="1"/>
  <c r="G79" i="1"/>
  <c r="G80" i="1"/>
  <c r="G81" i="1"/>
  <c r="G82" i="1"/>
  <c r="G83" i="1"/>
  <c r="G84" i="1"/>
  <c r="E12" i="1" l="1"/>
  <c r="A33" i="1"/>
  <c r="H33" i="1"/>
  <c r="H39" i="1" l="1"/>
  <c r="H40" i="1" s="1"/>
  <c r="E5" i="1" s="1"/>
</calcChain>
</file>

<file path=xl/sharedStrings.xml><?xml version="1.0" encoding="utf-8"?>
<sst xmlns="http://schemas.openxmlformats.org/spreadsheetml/2006/main" count="179" uniqueCount="140">
  <si>
    <t>Amount</t>
  </si>
  <si>
    <t>Ingredient</t>
  </si>
  <si>
    <t>Preparation Method</t>
  </si>
  <si>
    <t>Method of Preparation: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</si>
  <si>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</si>
  <si>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</si>
  <si>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</si>
  <si>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</si>
  <si>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</si>
  <si>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</si>
  <si>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</si>
  <si>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</si>
  <si>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</si>
  <si>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</si>
  <si>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</si>
  <si>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</si>
  <si>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</si>
  <si>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</si>
  <si>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</si>
  <si>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</si>
  <si>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</si>
  <si>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</si>
  <si>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</si>
  <si>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</si>
  <si>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</si>
  <si>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</si>
  <si>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</si>
  <si>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</si>
  <si>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</si>
  <si>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</si>
  <si>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</si>
  <si>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</si>
  <si>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</si>
  <si>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</si>
  <si>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</si>
  <si>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</si>
  <si>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</si>
  <si>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</si>
  <si>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</si>
  <si>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</si>
  <si>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</si>
  <si>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</si>
  <si>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</si>
  <si>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</si>
  <si>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</si>
  <si>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</si>
  <si>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</si>
  <si>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</si>
  <si>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</si>
  <si>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</si>
  <si>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</si>
  <si>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</si>
  <si>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</si>
  <si>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ENTER Number of Servings</t>
  </si>
  <si>
    <t>SCALING</t>
  </si>
  <si>
    <t>rev 2-25-17</t>
  </si>
  <si>
    <t>Error</t>
  </si>
  <si>
    <t>AJ</t>
  </si>
  <si>
    <t>2.24.17</t>
  </si>
  <si>
    <t>DR</t>
  </si>
  <si>
    <t>3.3.17</t>
  </si>
  <si>
    <t>Tortelloni</t>
  </si>
  <si>
    <t>Mint speckled, roasted lamb, crosta nera pecorino, broccoli rabe</t>
  </si>
  <si>
    <t>kg</t>
  </si>
  <si>
    <t>20-100024017</t>
  </si>
  <si>
    <t>Pecorino Romano</t>
  </si>
  <si>
    <t>Ricotta</t>
  </si>
  <si>
    <t>20-100000536</t>
  </si>
  <si>
    <t>Mint</t>
  </si>
  <si>
    <t>20-100000878</t>
  </si>
  <si>
    <t>Fresh sage</t>
  </si>
  <si>
    <t>20-100000880</t>
  </si>
  <si>
    <t>Nutmeg</t>
  </si>
  <si>
    <t>20-100001290</t>
  </si>
  <si>
    <t>Salt</t>
  </si>
  <si>
    <t>20-100001305</t>
  </si>
  <si>
    <t>Pepper</t>
  </si>
  <si>
    <t>20-100001295</t>
  </si>
  <si>
    <t>Extra virgin olive oil</t>
  </si>
  <si>
    <t>20-100001607</t>
  </si>
  <si>
    <t>Pecorino Crosta nera</t>
  </si>
  <si>
    <t>Shallot</t>
  </si>
  <si>
    <t>20-100000864</t>
  </si>
  <si>
    <t>Chili Flakes</t>
  </si>
  <si>
    <t>20-100001275</t>
  </si>
  <si>
    <t>65g of stuffing per portion</t>
  </si>
  <si>
    <t>Pasta Flour</t>
  </si>
  <si>
    <t>Fresh mint</t>
  </si>
  <si>
    <t>Lamb Shoulder</t>
  </si>
  <si>
    <t>Onion</t>
  </si>
  <si>
    <t>Chopped</t>
  </si>
  <si>
    <t>20-100000835</t>
  </si>
  <si>
    <t>Celery</t>
  </si>
  <si>
    <t>20-100000813</t>
  </si>
  <si>
    <t>Carrots</t>
  </si>
  <si>
    <t>20-100000811</t>
  </si>
  <si>
    <t>Tomato Paste</t>
  </si>
  <si>
    <t>20-100001217</t>
  </si>
  <si>
    <t>Sage</t>
  </si>
  <si>
    <t>Thyme</t>
  </si>
  <si>
    <t>20-100000886</t>
  </si>
  <si>
    <t>lt</t>
  </si>
  <si>
    <t>Red Wine</t>
  </si>
  <si>
    <t>20-100001687</t>
  </si>
  <si>
    <t>Water</t>
  </si>
  <si>
    <t>Tomato, Peeled</t>
  </si>
  <si>
    <t>20-100001221</t>
  </si>
  <si>
    <t xml:space="preserve">Garlic, Fresh </t>
  </si>
  <si>
    <t>20-100000869</t>
  </si>
  <si>
    <t>Rosemary</t>
  </si>
  <si>
    <t>20-100000879</t>
  </si>
  <si>
    <t>1. Pass through the meat grinder the roasted lamb meat. Add the ricotta and grated pecorino scorza nera adjust flavor to</t>
  </si>
  <si>
    <t>taste. Keep refrigerated .</t>
  </si>
  <si>
    <t>Sabatini</t>
  </si>
  <si>
    <t>Entrée</t>
  </si>
  <si>
    <t>Kg</t>
  </si>
  <si>
    <t>Lt</t>
  </si>
  <si>
    <t>yield: 950</t>
  </si>
  <si>
    <t>Lamb Filling: 950 g 20 Portions</t>
  </si>
  <si>
    <t>Lamb Filling</t>
  </si>
  <si>
    <t>See Sub Recipe</t>
  </si>
  <si>
    <t>20-100000552</t>
  </si>
  <si>
    <t>20-100024038</t>
  </si>
  <si>
    <t>Broccolini</t>
  </si>
  <si>
    <t>20-100000471</t>
  </si>
  <si>
    <t>20-100000952</t>
  </si>
  <si>
    <t xml:space="preserve">Lt </t>
  </si>
  <si>
    <t>egg yolk (60 egg yolks)</t>
  </si>
  <si>
    <t>Tortelloni filling: 485 g  7 servings</t>
  </si>
  <si>
    <t>Sauce: 7 portions  35 ml each</t>
  </si>
  <si>
    <t>Butter</t>
  </si>
  <si>
    <t>20-100001600</t>
  </si>
  <si>
    <t>Pasta Dough (7 portions)</t>
  </si>
  <si>
    <t>From recipe below</t>
  </si>
  <si>
    <r>
      <t>Pasta Dough</t>
    </r>
    <r>
      <rPr>
        <sz val="11"/>
        <color theme="1"/>
        <rFont val="Calibri"/>
        <family val="2"/>
        <scheme val="minor"/>
      </rPr>
      <t>:  80 Portions</t>
    </r>
  </si>
  <si>
    <t>Lamb Filling for Tortelloni filling</t>
  </si>
  <si>
    <t>See recipe below</t>
  </si>
  <si>
    <t>3. Toss Tortelloni in grated pecorino crosta nera, cooking pasta water, butter cubes, extra virgin olive oil and fresh milled black pepper.</t>
  </si>
  <si>
    <t>2. Pour in sauté pan extra virgin olive oil. Add shallots, broccolini, and chili flakes and cook for 2 minutes. Reserve.</t>
  </si>
  <si>
    <t>4. Spoon broccolini on the center of plate and place tortelloni around it. Mill fresh ground pepper on top. Serve hot.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</si>
</sst>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2" fillId="0" borderId="0" xfId="0" applyNumberFormat="1" applyFont="1" applyBorder="1"/>
    <xf numFmtId="0" fontId="31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0" fontId="0" fillId="0" borderId="0" xfId="0" applyFont="1" applyFill="1"/>
    <xf numFmtId="44" fontId="0" fillId="0" borderId="0" xfId="0" applyNumberFormat="1"/>
    <xf numFmtId="0" fontId="0" fillId="0" borderId="0" xfId="0" applyFont="1" applyAlignment="1">
      <alignment horizontal="left"/>
    </xf>
    <xf numFmtId="164" fontId="0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/>
    <xf numFmtId="0" fontId="6" fillId="0" borderId="0" xfId="0" applyFont="1" applyBorder="1"/>
    <xf numFmtId="164" fontId="0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4" fontId="4" fillId="0" borderId="0" xfId="1" applyFont="1" applyFill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749961851863155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0</xdr:row>
      <xdr:rowOff>156257</xdr:rowOff>
    </xdr:from>
    <xdr:to>
      <xdr:col>7</xdr:col>
      <xdr:colOff>704851</xdr:colOff>
      <xdr:row>11</xdr:row>
      <xdr:rowOff>141090</xdr:rowOff>
    </xdr:to>
    <xdr:pic>
      <xdr:nvPicPr>
        <xdr:cNvPr id="2" name="Content Placeholder 3"/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56257"/>
          <a:ext cx="3267076" cy="254705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ku%20List\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AURIE\%231%20PCL%20-%20New%202012%20Files\Recipe%20Costing\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LT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/>
          <cell r="C2642"/>
        </row>
        <row r="2643">
          <cell r="B2643"/>
          <cell r="C2643"/>
        </row>
        <row r="2644">
          <cell r="B2644"/>
          <cell r="C2644"/>
        </row>
        <row r="2645">
          <cell r="B2645"/>
          <cell r="C2645"/>
        </row>
        <row r="2646">
          <cell r="B2646"/>
          <cell r="C2646"/>
        </row>
        <row r="2647">
          <cell r="B2647"/>
          <cell r="C2647"/>
        </row>
        <row r="2648">
          <cell r="B2648"/>
          <cell r="C2648"/>
        </row>
        <row r="2649">
          <cell r="B2649"/>
          <cell r="C2649"/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zoomScaleNormal="100" workbookViewId="0">
      <selection activeCell="E56" sqref="E56"/>
    </sheetView>
  </sheetViews>
  <sheetFormatPr defaultRowHeight="15" x14ac:dyDescent="0.25"/>
  <cols>
    <col min="1" max="1" width="10.5703125" style="99" customWidth="1"/>
    <col min="2" max="2" width="10.42578125" customWidth="1"/>
    <col min="3" max="3" width="7.28515625" style="1" customWidth="1"/>
    <col min="4" max="4" width="31.85546875" customWidth="1"/>
    <col min="5" max="5" width="19.28515625" style="2" customWidth="1"/>
    <col min="6" max="6" width="13.140625" style="1" customWidth="1"/>
    <col min="7" max="7" width="34.7109375" style="6" customWidth="1"/>
    <col min="8" max="8" width="12.85546875" style="5" customWidth="1"/>
    <col min="9" max="9" width="8" style="5" bestFit="1" customWidth="1"/>
    <col min="10" max="10" width="4.42578125" style="46" customWidth="1"/>
    <col min="11" max="11" width="8.5703125" style="43" customWidth="1"/>
  </cols>
  <sheetData>
    <row r="1" spans="1:12" s="3" customFormat="1" ht="16.5" customHeight="1" x14ac:dyDescent="0.25">
      <c r="A1" s="101" t="s">
        <v>14</v>
      </c>
      <c r="B1" s="8" t="s">
        <v>61</v>
      </c>
      <c r="C1" s="36"/>
      <c r="D1" s="8"/>
      <c r="E1" s="10"/>
      <c r="F1" s="11"/>
      <c r="G1" s="52"/>
      <c r="H1" s="53"/>
      <c r="I1" s="53"/>
      <c r="J1" s="54"/>
      <c r="K1" s="9"/>
      <c r="L1" s="47" t="s">
        <v>55</v>
      </c>
    </row>
    <row r="2" spans="1:12" s="3" customFormat="1" ht="16.5" customHeight="1" x14ac:dyDescent="0.25">
      <c r="A2" s="101"/>
      <c r="B2" s="123" t="s">
        <v>62</v>
      </c>
      <c r="C2" s="124"/>
      <c r="D2" s="124"/>
      <c r="E2" s="124"/>
      <c r="F2" s="124"/>
      <c r="G2" s="52"/>
      <c r="H2" s="53"/>
      <c r="I2" s="53"/>
      <c r="J2" s="54"/>
      <c r="K2" s="9"/>
      <c r="L2" s="61"/>
    </row>
    <row r="3" spans="1:12" s="2" customFormat="1" ht="16.5" customHeight="1" x14ac:dyDescent="0.25">
      <c r="A3" s="102" t="s">
        <v>54</v>
      </c>
      <c r="B3" s="98" t="s">
        <v>48</v>
      </c>
      <c r="C3" s="91" t="s">
        <v>113</v>
      </c>
      <c r="D3" s="12" t="s">
        <v>114</v>
      </c>
      <c r="E3" s="12"/>
      <c r="F3" s="13"/>
      <c r="G3" s="55"/>
      <c r="H3" s="56"/>
      <c r="I3" s="56"/>
      <c r="J3" s="57"/>
      <c r="K3" s="58"/>
    </row>
    <row r="4" spans="1:12" s="4" customFormat="1" ht="20.25" customHeight="1" x14ac:dyDescent="0.2">
      <c r="A4" s="103" t="s">
        <v>53</v>
      </c>
      <c r="B4" s="98" t="s">
        <v>49</v>
      </c>
      <c r="C4" s="90">
        <v>1.218</v>
      </c>
      <c r="D4" s="84" t="s">
        <v>50</v>
      </c>
      <c r="E4" s="79" t="s">
        <v>40</v>
      </c>
      <c r="F4" s="14"/>
      <c r="G4" s="59"/>
      <c r="H4" s="60"/>
      <c r="I4" s="60"/>
      <c r="J4" s="54"/>
      <c r="K4" s="61"/>
    </row>
    <row r="5" spans="1:12" s="4" customFormat="1" ht="20.25" customHeight="1" thickBot="1" x14ac:dyDescent="0.3">
      <c r="A5" s="104">
        <v>50</v>
      </c>
      <c r="B5" s="79"/>
      <c r="C5" s="89">
        <f>SUM(C4/C7)</f>
        <v>7</v>
      </c>
      <c r="D5" s="81" t="s">
        <v>44</v>
      </c>
      <c r="E5" s="78">
        <f>SUM(H40)</f>
        <v>1.4948172005655278</v>
      </c>
      <c r="F5" s="14"/>
      <c r="G5" s="59"/>
      <c r="H5" s="60"/>
      <c r="I5" s="60"/>
      <c r="J5" s="54"/>
      <c r="K5" s="61"/>
    </row>
    <row r="6" spans="1:12" ht="20.25" customHeight="1" thickTop="1" x14ac:dyDescent="0.25">
      <c r="A6" s="105" t="s">
        <v>14</v>
      </c>
      <c r="B6" s="79"/>
      <c r="C6" s="1" t="str">
        <f>IF(ISBLANK(C8),"-",(C4/C8))</f>
        <v>-</v>
      </c>
      <c r="D6" s="88" t="s">
        <v>45</v>
      </c>
      <c r="E6" s="16"/>
      <c r="F6" s="17"/>
      <c r="G6" s="62"/>
      <c r="H6" s="63"/>
      <c r="I6" s="63"/>
      <c r="J6" s="64"/>
      <c r="K6" s="65"/>
    </row>
    <row r="7" spans="1:12" ht="28.5" thickBot="1" x14ac:dyDescent="0.3">
      <c r="A7" s="105"/>
      <c r="B7" s="85" t="s">
        <v>46</v>
      </c>
      <c r="C7" s="86">
        <f>C4/7</f>
        <v>0.17399999999999999</v>
      </c>
      <c r="D7" s="84" t="s">
        <v>51</v>
      </c>
      <c r="E7" s="79" t="s">
        <v>41</v>
      </c>
      <c r="F7" s="17"/>
      <c r="G7" s="62"/>
      <c r="H7" s="63"/>
      <c r="I7" s="63"/>
      <c r="J7" s="64"/>
      <c r="K7" s="65"/>
    </row>
    <row r="8" spans="1:12" ht="29.25" thickTop="1" thickBot="1" x14ac:dyDescent="0.3">
      <c r="A8" s="106"/>
      <c r="B8" s="87" t="s">
        <v>47</v>
      </c>
      <c r="C8" s="92"/>
      <c r="D8" s="84" t="s">
        <v>52</v>
      </c>
      <c r="E8" s="78" t="str">
        <f>IF(ISBLANK(C8),"-",(H39/C6))</f>
        <v>-</v>
      </c>
      <c r="F8" s="17"/>
      <c r="G8" s="62"/>
      <c r="H8" s="63"/>
      <c r="I8" s="63"/>
      <c r="J8" s="64"/>
      <c r="K8" s="65"/>
    </row>
    <row r="9" spans="1:12" ht="3.75" customHeight="1" thickTop="1" x14ac:dyDescent="0.25">
      <c r="A9" s="106"/>
      <c r="B9" s="18"/>
      <c r="C9" s="18"/>
      <c r="D9" s="18"/>
      <c r="E9" s="19"/>
      <c r="F9" s="17"/>
      <c r="G9" s="62"/>
      <c r="H9" s="63"/>
      <c r="I9" s="63"/>
      <c r="J9" s="64"/>
      <c r="K9" s="65"/>
    </row>
    <row r="10" spans="1:12" x14ac:dyDescent="0.25">
      <c r="A10" s="107"/>
      <c r="B10" s="7" t="s">
        <v>9</v>
      </c>
      <c r="C10" s="28" t="s">
        <v>10</v>
      </c>
      <c r="D10" s="7" t="s">
        <v>11</v>
      </c>
      <c r="F10" s="17"/>
      <c r="G10" s="62"/>
      <c r="H10" s="63"/>
      <c r="I10" s="63"/>
      <c r="J10" s="64"/>
      <c r="K10" s="65"/>
    </row>
    <row r="11" spans="1:12" x14ac:dyDescent="0.25">
      <c r="A11" s="107"/>
      <c r="B11" s="20" t="s">
        <v>12</v>
      </c>
      <c r="C11" s="38"/>
      <c r="D11" s="21"/>
      <c r="E11" s="83" t="s">
        <v>42</v>
      </c>
      <c r="F11" s="17"/>
      <c r="G11" s="62"/>
      <c r="H11" s="63"/>
      <c r="I11" s="63"/>
      <c r="J11" s="64"/>
      <c r="K11" s="65"/>
    </row>
    <row r="12" spans="1:12" ht="15.75" thickBot="1" x14ac:dyDescent="0.3">
      <c r="A12" s="107"/>
      <c r="B12" s="20" t="s">
        <v>13</v>
      </c>
      <c r="C12" s="39" t="s">
        <v>58</v>
      </c>
      <c r="D12" s="21" t="s">
        <v>59</v>
      </c>
      <c r="E12" s="82">
        <f>SUM(C4/B39)</f>
        <v>1</v>
      </c>
      <c r="F12" s="17"/>
      <c r="G12" s="62"/>
      <c r="H12" s="63"/>
      <c r="I12" s="63"/>
      <c r="J12" s="64"/>
      <c r="K12" s="65"/>
    </row>
    <row r="13" spans="1:12" ht="15" customHeight="1" thickTop="1" x14ac:dyDescent="0.25">
      <c r="A13" s="107"/>
      <c r="B13" s="20"/>
      <c r="C13" s="40" t="s">
        <v>60</v>
      </c>
      <c r="D13" s="21" t="s">
        <v>57</v>
      </c>
      <c r="E13" s="19"/>
      <c r="F13" s="17"/>
      <c r="G13" s="62"/>
      <c r="H13" s="63"/>
      <c r="I13" s="63"/>
      <c r="J13" s="64"/>
      <c r="K13" s="65"/>
    </row>
    <row r="14" spans="1:12" ht="12.75" customHeight="1" x14ac:dyDescent="0.25">
      <c r="A14" s="106"/>
      <c r="B14" s="28" t="s">
        <v>0</v>
      </c>
      <c r="C14" s="28" t="s">
        <v>4</v>
      </c>
      <c r="D14" s="29" t="s">
        <v>1</v>
      </c>
      <c r="E14" s="30" t="s">
        <v>2</v>
      </c>
      <c r="F14" s="28" t="s">
        <v>7</v>
      </c>
      <c r="G14" s="66" t="s">
        <v>8</v>
      </c>
      <c r="H14" s="67" t="s">
        <v>6</v>
      </c>
      <c r="I14" s="67" t="s">
        <v>5</v>
      </c>
      <c r="J14" s="68" t="s">
        <v>4</v>
      </c>
      <c r="K14" s="69" t="s">
        <v>56</v>
      </c>
    </row>
    <row r="15" spans="1:12" ht="12.75" customHeight="1" x14ac:dyDescent="0.25">
      <c r="A15" s="106"/>
      <c r="B15" s="22">
        <v>0.05</v>
      </c>
      <c r="C15" s="22" t="s">
        <v>115</v>
      </c>
      <c r="D15" s="121" t="s">
        <v>135</v>
      </c>
      <c r="E15" s="23" t="s">
        <v>136</v>
      </c>
      <c r="F15" s="28"/>
      <c r="G15" s="66"/>
      <c r="H15" s="122">
        <v>5.32</v>
      </c>
      <c r="I15" s="67"/>
      <c r="J15" s="68"/>
      <c r="K15" s="69"/>
    </row>
    <row r="16" spans="1:12" ht="12.75" customHeight="1" x14ac:dyDescent="0.25">
      <c r="A16" s="106"/>
      <c r="B16" s="28"/>
      <c r="C16" s="28"/>
      <c r="D16" s="29"/>
      <c r="E16" s="30"/>
      <c r="F16" s="28"/>
      <c r="G16" s="66"/>
      <c r="H16" s="67"/>
      <c r="I16" s="67"/>
      <c r="J16" s="68"/>
      <c r="K16" s="69"/>
    </row>
    <row r="17" spans="1:13" ht="12.75" customHeight="1" x14ac:dyDescent="0.25">
      <c r="A17" s="106"/>
      <c r="B17" s="110"/>
      <c r="C17" s="22"/>
      <c r="D17" s="18" t="s">
        <v>128</v>
      </c>
      <c r="E17" s="23"/>
      <c r="F17" s="93"/>
      <c r="G17" s="95" t="str">
        <f>IF(F17="","",(VLOOKUP($F17,[1]SKU!$A$4:$D$3000,2,FALSE)))</f>
        <v/>
      </c>
      <c r="H17" s="5" t="str">
        <f t="shared" ref="H17:H19" si="0">IF(F17="","",(B17*I17))</f>
        <v/>
      </c>
      <c r="I17" s="5" t="str">
        <f>IF(F17="","",(VLOOKUP(F17,[1]SKU!$A$4:$D$3000,4,FALSE)))</f>
        <v/>
      </c>
      <c r="J17" s="108" t="str">
        <f>IF(I17="","",(VLOOKUP($F17,[1]SKU!$A$4:$D$3000,3,FALSE)))</f>
        <v/>
      </c>
      <c r="K17" s="109" t="str">
        <f t="shared" ref="K17:K19" si="1">IF(J17="","",IF(J17=$C17,"","DIFFERENT"))</f>
        <v/>
      </c>
    </row>
    <row r="18" spans="1:13" ht="12.75" customHeight="1" x14ac:dyDescent="0.25">
      <c r="A18" s="106"/>
      <c r="B18" s="110">
        <v>0.25</v>
      </c>
      <c r="C18" s="22" t="s">
        <v>63</v>
      </c>
      <c r="D18" s="24" t="s">
        <v>119</v>
      </c>
      <c r="E18" s="16" t="s">
        <v>120</v>
      </c>
      <c r="F18" s="70"/>
      <c r="G18" s="95" t="str">
        <f>IF(F18="","",(VLOOKUP($F18,[1]SKU!$A$4:$D$3000,2,FALSE)))</f>
        <v/>
      </c>
      <c r="H18" s="5" t="str">
        <f t="shared" si="0"/>
        <v/>
      </c>
      <c r="I18" s="5" t="str">
        <f>IF(F18="","",(VLOOKUP(F18,[1]SKU!$A$4:$D$3000,4,FALSE)))</f>
        <v/>
      </c>
      <c r="J18" s="108" t="str">
        <f>IF(I18="","",(VLOOKUP($F18,[1]SKU!$A$4:$D$3000,3,FALSE)))</f>
        <v/>
      </c>
      <c r="K18" s="109" t="str">
        <f t="shared" si="1"/>
        <v/>
      </c>
    </row>
    <row r="19" spans="1:13" ht="12.75" customHeight="1" x14ac:dyDescent="0.25">
      <c r="A19" s="106"/>
      <c r="B19" s="110">
        <v>5.5E-2</v>
      </c>
      <c r="C19" s="22" t="s">
        <v>63</v>
      </c>
      <c r="D19" s="15" t="s">
        <v>65</v>
      </c>
      <c r="E19" s="16"/>
      <c r="F19" s="93" t="s">
        <v>121</v>
      </c>
      <c r="G19" s="95" t="str">
        <f>IF(F19="","",(VLOOKUP($F19,[1]SKU!$A$4:$D$3000,2,FALSE)))</f>
        <v>Pecorino With Black Pepper</v>
      </c>
      <c r="H19" s="5">
        <f t="shared" si="0"/>
        <v>0.52984022974558098</v>
      </c>
      <c r="I19" s="5">
        <f>IF(F19="","",(VLOOKUP(F19,[1]SKU!$A$4:$D$3000,4,FALSE)))</f>
        <v>9.6334587226469264</v>
      </c>
      <c r="J19" s="108" t="str">
        <f>IF(I19="","",(VLOOKUP($F19,[1]SKU!$A$4:$D$3000,3,FALSE)))</f>
        <v>KG</v>
      </c>
      <c r="K19" s="109" t="str">
        <f t="shared" si="1"/>
        <v/>
      </c>
    </row>
    <row r="20" spans="1:13" ht="12.75" customHeight="1" x14ac:dyDescent="0.25">
      <c r="A20" s="106">
        <f>IF(ISBLANK(B20),0,(SUM($A$5/$C$5)*B20))</f>
        <v>0.61428571428571432</v>
      </c>
      <c r="B20" s="110">
        <v>8.5999999999999993E-2</v>
      </c>
      <c r="C20" s="22" t="s">
        <v>63</v>
      </c>
      <c r="D20" s="15" t="s">
        <v>66</v>
      </c>
      <c r="E20" s="16"/>
      <c r="F20" s="93" t="s">
        <v>67</v>
      </c>
      <c r="G20" s="95" t="str">
        <f>IF(F20="","",(VLOOKUP($F20,[1]SKU!$A$4:$D$3000,2,FALSE)))</f>
        <v>Ricotta</v>
      </c>
      <c r="H20" s="5">
        <f t="shared" ref="H20:H23" si="2">IF(F20="","",(B20*I20))</f>
        <v>0.32956212447386174</v>
      </c>
      <c r="I20" s="5">
        <f>IF(F20="","",(VLOOKUP(F20,[1]SKU!$A$4:$D$3000,4,FALSE)))</f>
        <v>3.8321177264402531</v>
      </c>
      <c r="J20" s="108" t="str">
        <f>IF(I20="","",(VLOOKUP($F20,[1]SKU!$A$4:$D$3000,3,FALSE)))</f>
        <v>KG</v>
      </c>
      <c r="K20" s="109" t="str">
        <f t="shared" ref="K20:K23" si="3">IF(J20="","",IF(J20=$C20,"","DIFFERENT"))</f>
        <v/>
      </c>
    </row>
    <row r="21" spans="1:13" ht="12.75" customHeight="1" x14ac:dyDescent="0.25">
      <c r="A21" s="106"/>
      <c r="B21" s="110">
        <v>2E-3</v>
      </c>
      <c r="C21" s="22" t="s">
        <v>63</v>
      </c>
      <c r="D21" s="32" t="s">
        <v>68</v>
      </c>
      <c r="E21" s="23"/>
      <c r="F21" s="93" t="s">
        <v>69</v>
      </c>
      <c r="G21" s="95" t="str">
        <f>IF(F21="","",(VLOOKUP($F21,[1]SKU!$A$4:$D$3000,2,FALSE)))</f>
        <v>Herb, Mint</v>
      </c>
      <c r="H21" s="5">
        <f t="shared" si="2"/>
        <v>1.5788211821431548E-2</v>
      </c>
      <c r="I21" s="5">
        <f>IF(F21="","",(VLOOKUP(F21,[1]SKU!$A$4:$D$3000,4,FALSE)))</f>
        <v>7.8941059107157736</v>
      </c>
      <c r="J21" s="108" t="str">
        <f>IF(I21="","",(VLOOKUP($F21,[1]SKU!$A$4:$D$3000,3,FALSE)))</f>
        <v>KG</v>
      </c>
      <c r="K21" s="109" t="str">
        <f t="shared" si="3"/>
        <v/>
      </c>
    </row>
    <row r="22" spans="1:13" ht="12.75" customHeight="1" x14ac:dyDescent="0.25">
      <c r="A22" s="106"/>
      <c r="B22" s="110">
        <v>1E-3</v>
      </c>
      <c r="C22" s="22" t="s">
        <v>115</v>
      </c>
      <c r="D22" s="32" t="s">
        <v>70</v>
      </c>
      <c r="E22" s="23"/>
      <c r="F22" s="93" t="s">
        <v>71</v>
      </c>
      <c r="G22" s="95" t="str">
        <f>IF(F22="","",(VLOOKUP($F22,[1]SKU!$A$4:$D$3000,2,FALSE)))</f>
        <v>Herb, Sage, Bulk, Fresh</v>
      </c>
      <c r="H22" s="5">
        <f t="shared" si="2"/>
        <v>1.3758424672591939E-2</v>
      </c>
      <c r="I22" s="5">
        <f>IF(F22="","",(VLOOKUP(F22,[1]SKU!$A$4:$D$3000,4,FALSE)))</f>
        <v>13.758424672591939</v>
      </c>
      <c r="J22" s="108" t="str">
        <f>IF(I22="","",(VLOOKUP($F22,[1]SKU!$A$4:$D$3000,3,FALSE)))</f>
        <v>KG</v>
      </c>
      <c r="K22" s="109" t="str">
        <f t="shared" si="3"/>
        <v/>
      </c>
    </row>
    <row r="23" spans="1:13" ht="12.75" customHeight="1" x14ac:dyDescent="0.25">
      <c r="A23" s="106"/>
      <c r="B23" s="118">
        <v>1E-3</v>
      </c>
      <c r="C23" s="22" t="s">
        <v>115</v>
      </c>
      <c r="D23" s="32" t="s">
        <v>72</v>
      </c>
      <c r="E23" s="23"/>
      <c r="F23" s="93" t="s">
        <v>73</v>
      </c>
      <c r="G23" s="95" t="str">
        <f>IF(F23="","",(VLOOKUP($F23,[1]SKU!$A$4:$D$3000,2,FALSE)))</f>
        <v>Nutmeg Ground</v>
      </c>
      <c r="H23" s="5">
        <f t="shared" si="2"/>
        <v>2.9466610073571018E-2</v>
      </c>
      <c r="I23" s="5">
        <f>IF(F23="","",(VLOOKUP(F23,[1]SKU!$A$4:$D$3000,4,FALSE)))</f>
        <v>29.466610073571019</v>
      </c>
      <c r="J23" s="108" t="str">
        <f>IF(I23="","",(VLOOKUP($F23,[1]SKU!$A$4:$D$3000,3,FALSE)))</f>
        <v>KG</v>
      </c>
      <c r="K23" s="109" t="str">
        <f t="shared" si="3"/>
        <v/>
      </c>
    </row>
    <row r="24" spans="1:13" ht="12.75" customHeight="1" x14ac:dyDescent="0.25">
      <c r="A24" s="106">
        <f>IF(ISBLANK(B24),0,(SUM($A$5/$C$5)*B24))</f>
        <v>7.1428571428571435E-3</v>
      </c>
      <c r="B24" s="118">
        <v>1E-3</v>
      </c>
      <c r="C24" s="22" t="s">
        <v>115</v>
      </c>
      <c r="D24" s="32" t="s">
        <v>74</v>
      </c>
      <c r="E24" s="23"/>
      <c r="F24" s="93" t="s">
        <v>75</v>
      </c>
      <c r="G24" s="95" t="str">
        <f>IF(F24="","",(VLOOKUP($F24,[1]SKU!$A$4:$D$3000,2,FALSE)))</f>
        <v>SALT TABLE IODIZED</v>
      </c>
      <c r="H24" s="5">
        <f t="shared" ref="H24:H35" si="4">IF(F24="","",(B24*I24))</f>
        <v>3.4324673674329979E-4</v>
      </c>
      <c r="I24" s="5">
        <f>IF(F24="","",(VLOOKUP(F24,[1]SKU!$A$4:$D$3000,4,FALSE)))</f>
        <v>0.34324673674329981</v>
      </c>
      <c r="J24" s="108" t="str">
        <f>IF(I24="","",(VLOOKUP($F24,[1]SKU!$A$4:$D$3000,3,FALSE)))</f>
        <v>KG</v>
      </c>
      <c r="K24" s="109" t="str">
        <f t="shared" ref="K24:K37" si="5">IF(J24="","",IF(J24=$C24,"","DIFFERENT"))</f>
        <v/>
      </c>
      <c r="M24" s="118"/>
    </row>
    <row r="25" spans="1:13" ht="12.75" customHeight="1" x14ac:dyDescent="0.25">
      <c r="A25" s="106"/>
      <c r="B25" s="118">
        <v>1E-3</v>
      </c>
      <c r="C25" s="22" t="s">
        <v>115</v>
      </c>
      <c r="D25" s="32" t="s">
        <v>76</v>
      </c>
      <c r="E25" s="23"/>
      <c r="F25" s="70" t="s">
        <v>77</v>
      </c>
      <c r="G25" s="95" t="str">
        <f>IF(F25="","",(VLOOKUP($F25,[1]SKU!$A$4:$D$3000,2,FALSE)))</f>
        <v>Pepper Black Ground</v>
      </c>
      <c r="H25" s="5">
        <f t="shared" si="4"/>
        <v>1.8543221549417611E-2</v>
      </c>
      <c r="I25" s="5">
        <f>IF(F25="","",(VLOOKUP(F25,[1]SKU!$A$4:$D$3000,4,FALSE)))</f>
        <v>18.543221549417609</v>
      </c>
      <c r="J25" s="108" t="str">
        <f>IF(I25="","",(VLOOKUP($F25,[1]SKU!$A$4:$D$3000,3,FALSE)))</f>
        <v>KG</v>
      </c>
      <c r="K25" s="109" t="str">
        <f t="shared" si="5"/>
        <v/>
      </c>
      <c r="M25" s="118"/>
    </row>
    <row r="26" spans="1:13" ht="12.75" customHeight="1" x14ac:dyDescent="0.25">
      <c r="A26" s="106"/>
      <c r="B26" s="25"/>
      <c r="C26" s="15"/>
      <c r="D26" s="120" t="s">
        <v>85</v>
      </c>
      <c r="E26" s="23"/>
      <c r="F26" s="15"/>
      <c r="G26" s="95" t="str">
        <f>IF(F26="","",(VLOOKUP($F26,[1]SKU!$A$4:$D$3000,2,FALSE)))</f>
        <v/>
      </c>
      <c r="H26" s="5" t="str">
        <f t="shared" si="4"/>
        <v/>
      </c>
      <c r="I26" s="5" t="str">
        <f>IF(F26="","",(VLOOKUP(F26,[1]SKU!$A$4:$D$3000,4,FALSE)))</f>
        <v/>
      </c>
      <c r="J26" s="108" t="str">
        <f>IF(I26="","",(VLOOKUP($F26,[1]SKU!$A$4:$D$3000,3,FALSE)))</f>
        <v/>
      </c>
      <c r="K26" s="109" t="str">
        <f t="shared" si="5"/>
        <v/>
      </c>
      <c r="M26" s="118"/>
    </row>
    <row r="27" spans="1:13" ht="12.75" customHeight="1" x14ac:dyDescent="0.25">
      <c r="A27" s="106"/>
      <c r="B27" s="25"/>
      <c r="C27" s="15"/>
      <c r="D27" s="120"/>
      <c r="E27" s="23"/>
      <c r="F27" s="15"/>
      <c r="G27" s="95"/>
      <c r="J27" s="108"/>
      <c r="K27" s="109"/>
      <c r="M27" s="118"/>
    </row>
    <row r="28" spans="1:13" ht="12.75" customHeight="1" x14ac:dyDescent="0.25">
      <c r="A28" s="106"/>
      <c r="B28" s="112"/>
      <c r="C28" s="15"/>
      <c r="D28" s="28" t="s">
        <v>129</v>
      </c>
      <c r="E28" s="23"/>
      <c r="F28" s="15"/>
      <c r="G28" s="95" t="str">
        <f>IF(F28="","",(VLOOKUP($F28,[1]SKU!$A$4:$D$3000,2,FALSE)))</f>
        <v/>
      </c>
      <c r="H28" s="5" t="str">
        <f t="shared" si="4"/>
        <v/>
      </c>
      <c r="I28" s="5" t="str">
        <f>IF(F28="","",(VLOOKUP(F28,[1]SKU!$A$4:$D$3000,4,FALSE)))</f>
        <v/>
      </c>
      <c r="J28" s="108" t="str">
        <f>IF(I28="","",(VLOOKUP($F28,[1]SKU!$A$4:$D$3000,3,FALSE)))</f>
        <v/>
      </c>
      <c r="K28" s="109" t="str">
        <f t="shared" si="5"/>
        <v/>
      </c>
      <c r="M28" s="118"/>
    </row>
    <row r="29" spans="1:13" ht="12.75" customHeight="1" x14ac:dyDescent="0.25">
      <c r="A29" s="106">
        <f t="shared" ref="A29:A38" si="6">IF(ISBLANK(B29),0,(SUM($A$5/$C$5)*B29))</f>
        <v>1.5</v>
      </c>
      <c r="B29" s="118">
        <v>0.21</v>
      </c>
      <c r="C29" s="119" t="s">
        <v>115</v>
      </c>
      <c r="D29" s="32" t="s">
        <v>123</v>
      </c>
      <c r="E29" s="23"/>
      <c r="F29" s="93" t="s">
        <v>122</v>
      </c>
      <c r="G29" s="95" t="str">
        <f>IF(F29="","",(VLOOKUP($F29,[1]SKU!$A$4:$D$3000,2,FALSE)))</f>
        <v>Broccolini, Fresh - For Curtis Stone Only</v>
      </c>
      <c r="H29" s="5">
        <f t="shared" si="4"/>
        <v>0.85840281471177848</v>
      </c>
      <c r="I29" s="5">
        <f>IF(F29="","",(VLOOKUP(F29,[1]SKU!$A$4:$D$3000,4,FALSE)))</f>
        <v>4.0876324510084689</v>
      </c>
      <c r="J29" s="108" t="str">
        <f>IF(I29="","",(VLOOKUP($F29,[1]SKU!$A$4:$D$3000,3,FALSE)))</f>
        <v>KG</v>
      </c>
      <c r="K29" s="109" t="str">
        <f t="shared" si="5"/>
        <v/>
      </c>
      <c r="M29" s="118"/>
    </row>
    <row r="30" spans="1:13" ht="12.75" customHeight="1" x14ac:dyDescent="0.25">
      <c r="A30" s="106"/>
      <c r="B30" s="118">
        <v>3.5000000000000003E-2</v>
      </c>
      <c r="C30" s="119" t="s">
        <v>116</v>
      </c>
      <c r="D30" s="32" t="s">
        <v>78</v>
      </c>
      <c r="E30" s="111"/>
      <c r="F30" s="15" t="s">
        <v>79</v>
      </c>
      <c r="G30" s="95" t="str">
        <f>IF(F30="","",(VLOOKUP($F30,[1]SKU!$A$4:$D$3000,2,FALSE)))</f>
        <v>Oil Olive Extra Virgin</v>
      </c>
      <c r="H30" s="5">
        <f t="shared" si="4"/>
        <v>0.15001946176257547</v>
      </c>
      <c r="I30" s="5">
        <f>IF(F30="","",(VLOOKUP(F30,[1]SKU!$A$4:$D$3000,4,FALSE)))</f>
        <v>4.2862703360735841</v>
      </c>
      <c r="J30" s="108" t="str">
        <f>IF(I30="","",(VLOOKUP($F30,[1]SKU!$A$4:$D$3000,3,FALSE)))</f>
        <v>LT</v>
      </c>
      <c r="K30" s="109" t="str">
        <f t="shared" si="5"/>
        <v/>
      </c>
      <c r="M30" s="118"/>
    </row>
    <row r="31" spans="1:13" ht="12.75" customHeight="1" x14ac:dyDescent="0.25">
      <c r="A31" s="106"/>
      <c r="B31" s="118">
        <v>3.5000000000000003E-2</v>
      </c>
      <c r="C31" s="119" t="s">
        <v>115</v>
      </c>
      <c r="D31" s="111" t="s">
        <v>80</v>
      </c>
      <c r="E31" s="16"/>
      <c r="F31" s="93" t="s">
        <v>121</v>
      </c>
      <c r="G31" s="95" t="str">
        <f>IF(F31="","",(VLOOKUP($F31,[1]SKU!$A$4:$D$3000,2,FALSE)))</f>
        <v>Pecorino With Black Pepper</v>
      </c>
      <c r="H31" s="5">
        <f t="shared" si="4"/>
        <v>0.33717105529264246</v>
      </c>
      <c r="I31" s="5">
        <f>IF(F31="","",(VLOOKUP(F31,[1]SKU!$A$4:$D$3000,4,FALSE)))</f>
        <v>9.6334587226469264</v>
      </c>
      <c r="J31" s="108" t="str">
        <f>IF(I31="","",(VLOOKUP($F31,[1]SKU!$A$4:$D$3000,3,FALSE)))</f>
        <v>KG</v>
      </c>
      <c r="K31" s="109" t="str">
        <f t="shared" si="5"/>
        <v/>
      </c>
    </row>
    <row r="32" spans="1:13" ht="12.75" customHeight="1" x14ac:dyDescent="0.25">
      <c r="A32" s="106"/>
      <c r="B32" s="118">
        <v>3.5000000000000003E-2</v>
      </c>
      <c r="C32" s="119" t="s">
        <v>115</v>
      </c>
      <c r="D32" s="32" t="s">
        <v>81</v>
      </c>
      <c r="E32" s="23"/>
      <c r="F32" s="93" t="s">
        <v>82</v>
      </c>
      <c r="G32" s="95" t="str">
        <f>IF(F32="","",(VLOOKUP($F32,[1]SKU!$A$4:$D$3000,2,FALSE)))</f>
        <v>Shallot</v>
      </c>
      <c r="H32" s="5">
        <f t="shared" si="4"/>
        <v>9.3915011390432027E-2</v>
      </c>
      <c r="I32" s="5">
        <f>IF(F32="","",(VLOOKUP(F32,[1]SKU!$A$4:$D$3000,4,FALSE)))</f>
        <v>2.6832860397266289</v>
      </c>
      <c r="J32" s="108" t="str">
        <f>IF(I32="","",(VLOOKUP($F32,[1]SKU!$A$4:$D$3000,3,FALSE)))</f>
        <v>KG</v>
      </c>
      <c r="K32" s="109" t="str">
        <f t="shared" si="5"/>
        <v/>
      </c>
    </row>
    <row r="33" spans="1:12" ht="12.75" customHeight="1" x14ac:dyDescent="0.25">
      <c r="A33" s="106">
        <f t="shared" si="6"/>
        <v>0.05</v>
      </c>
      <c r="B33" s="118">
        <v>7.0000000000000001E-3</v>
      </c>
      <c r="C33" s="119" t="s">
        <v>115</v>
      </c>
      <c r="D33" s="24" t="s">
        <v>74</v>
      </c>
      <c r="E33" s="16"/>
      <c r="F33" s="93" t="s">
        <v>75</v>
      </c>
      <c r="G33" s="95" t="str">
        <f>IF(F33="","",(VLOOKUP($F33,[1]SKU!$A$4:$D$3000,2,FALSE)))</f>
        <v>SALT TABLE IODIZED</v>
      </c>
      <c r="H33" s="5">
        <f t="shared" si="4"/>
        <v>2.4027271572030985E-3</v>
      </c>
      <c r="I33" s="5">
        <f>IF(F33="","",(VLOOKUP(F33,[1]SKU!$A$4:$D$3000,4,FALSE)))</f>
        <v>0.34324673674329981</v>
      </c>
      <c r="J33" s="108" t="str">
        <f>IF(I33="","",(VLOOKUP($F33,[1]SKU!$A$4:$D$3000,3,FALSE)))</f>
        <v>KG</v>
      </c>
      <c r="K33" s="109" t="str">
        <f t="shared" si="5"/>
        <v/>
      </c>
    </row>
    <row r="34" spans="1:12" ht="12.75" customHeight="1" x14ac:dyDescent="0.25">
      <c r="A34" s="106"/>
      <c r="B34" s="118">
        <v>7.0000000000000001E-3</v>
      </c>
      <c r="C34" s="119" t="s">
        <v>115</v>
      </c>
      <c r="D34" s="32" t="s">
        <v>76</v>
      </c>
      <c r="E34" s="16"/>
      <c r="F34" s="93" t="s">
        <v>77</v>
      </c>
      <c r="G34" s="95" t="str">
        <f>IF(F34="","",(VLOOKUP($F34,[1]SKU!$A$4:$D$3000,2,FALSE)))</f>
        <v>Pepper Black Ground</v>
      </c>
      <c r="H34" s="5">
        <f t="shared" si="4"/>
        <v>0.12980255084592326</v>
      </c>
      <c r="I34" s="5">
        <f>IF(F34="","",(VLOOKUP(F34,[1]SKU!$A$4:$D$3000,4,FALSE)))</f>
        <v>18.543221549417609</v>
      </c>
      <c r="J34" s="108" t="str">
        <f>IF(I34="","",(VLOOKUP($F34,[1]SKU!$A$4:$D$3000,3,FALSE)))</f>
        <v>KG</v>
      </c>
      <c r="K34" s="109" t="str">
        <f t="shared" si="5"/>
        <v/>
      </c>
    </row>
    <row r="35" spans="1:12" ht="12.75" customHeight="1" x14ac:dyDescent="0.25">
      <c r="A35" s="106"/>
      <c r="B35" s="118">
        <v>7.0000000000000001E-3</v>
      </c>
      <c r="C35" s="119" t="s">
        <v>115</v>
      </c>
      <c r="D35" s="32" t="s">
        <v>83</v>
      </c>
      <c r="E35" s="16"/>
      <c r="F35" s="93" t="s">
        <v>84</v>
      </c>
      <c r="G35" s="95" t="str">
        <f>IF(F35="","",(VLOOKUP($F35,[1]SKU!$A$4:$D$3000,2,FALSE)))</f>
        <v>Chili Peppers Crushed</v>
      </c>
      <c r="H35" s="5">
        <f t="shared" si="4"/>
        <v>5.8062281799617949E-2</v>
      </c>
      <c r="I35" s="5">
        <f>IF(F35="","",(VLOOKUP(F35,[1]SKU!$A$4:$D$3000,4,FALSE)))</f>
        <v>8.2946116856597065</v>
      </c>
      <c r="J35" s="108" t="str">
        <f>IF(I35="","",(VLOOKUP($F35,[1]SKU!$A$4:$D$3000,3,FALSE)))</f>
        <v>KG</v>
      </c>
      <c r="K35" s="109" t="str">
        <f t="shared" si="5"/>
        <v/>
      </c>
    </row>
    <row r="36" spans="1:12" ht="12.75" customHeight="1" x14ac:dyDescent="0.25">
      <c r="A36" s="106"/>
      <c r="B36" s="118">
        <v>1.4999999999999999E-2</v>
      </c>
      <c r="C36" s="119" t="s">
        <v>115</v>
      </c>
      <c r="D36" s="32" t="s">
        <v>130</v>
      </c>
      <c r="E36" s="16"/>
      <c r="F36" s="93" t="s">
        <v>131</v>
      </c>
      <c r="G36" s="95" t="str">
        <f>IF(F36="","",(VLOOKUP($F36,[1]SKU!$A$4:$D$3000,2,FALSE)))</f>
        <v>Butter Unsalted Aa 1 Lb (454 Gm)</v>
      </c>
      <c r="H36" s="5">
        <f t="shared" ref="H36" si="7">IF(F36="","",(B36*I36))</f>
        <v>5.6642431925322978E-2</v>
      </c>
      <c r="I36" s="5">
        <f>IF(F36="","",(VLOOKUP(F36,[1]SKU!$A$4:$D$3000,4,FALSE)))</f>
        <v>3.7761621283548652</v>
      </c>
      <c r="J36" s="108" t="str">
        <f>IF(I36="","",(VLOOKUP($F36,[1]SKU!$A$4:$D$3000,3,FALSE)))</f>
        <v>KG</v>
      </c>
      <c r="K36" s="109" t="str">
        <f t="shared" ref="K36" si="8">IF(J36="","",IF(J36=$C36,"","DIFFERENT"))</f>
        <v/>
      </c>
    </row>
    <row r="37" spans="1:12" ht="12.75" customHeight="1" x14ac:dyDescent="0.25">
      <c r="A37" s="106">
        <f t="shared" si="6"/>
        <v>0</v>
      </c>
      <c r="B37" s="110"/>
      <c r="C37" s="22"/>
      <c r="D37" s="120"/>
      <c r="E37" s="23"/>
      <c r="F37" s="93"/>
      <c r="G37" s="95" t="str">
        <f>IF(F37="","",(VLOOKUP($F37,[1]SKU!$A$4:$D$3000,2,FALSE)))</f>
        <v/>
      </c>
      <c r="H37" s="5">
        <v>1.1200000000000001</v>
      </c>
      <c r="I37" s="5" t="str">
        <f>IF(F37="","",(VLOOKUP(F37,[1]SKU!$A$4:$D$3000,4,FALSE)))</f>
        <v/>
      </c>
      <c r="J37" s="108" t="str">
        <f>IF(I37="","",(VLOOKUP($F37,[1]SKU!$A$4:$D$3000,3,FALSE)))</f>
        <v/>
      </c>
      <c r="K37" s="109" t="str">
        <f t="shared" si="5"/>
        <v/>
      </c>
    </row>
    <row r="38" spans="1:12" x14ac:dyDescent="0.25">
      <c r="A38" s="106">
        <f t="shared" si="6"/>
        <v>3</v>
      </c>
      <c r="B38" s="96">
        <v>0.42</v>
      </c>
      <c r="C38" s="22" t="s">
        <v>115</v>
      </c>
      <c r="D38" s="95" t="s">
        <v>132</v>
      </c>
      <c r="E38" s="23" t="s">
        <v>133</v>
      </c>
      <c r="F38" s="93"/>
      <c r="G38" s="71"/>
      <c r="H38" s="63">
        <v>1.4</v>
      </c>
      <c r="I38" s="63"/>
      <c r="J38" s="64"/>
      <c r="K38" s="72"/>
    </row>
    <row r="39" spans="1:12" ht="15.75" customHeight="1" x14ac:dyDescent="0.25">
      <c r="A39" s="100" t="s">
        <v>39</v>
      </c>
      <c r="B39" s="80">
        <f>SUM(B15:B38)</f>
        <v>1.218</v>
      </c>
      <c r="C39" s="17"/>
      <c r="D39" s="15"/>
      <c r="E39" s="26"/>
      <c r="F39" s="17"/>
      <c r="G39" s="73" t="s">
        <v>38</v>
      </c>
      <c r="H39" s="74">
        <f>SUM(H15:H38)</f>
        <v>10.463720403958694</v>
      </c>
      <c r="I39" s="63" t="str">
        <f>IF(F39="","",VLOOKUP(F39,[1]SKU!$A$5:$D$3000,4,FALSE))</f>
        <v/>
      </c>
      <c r="J39" s="64" t="str">
        <f>IF(F39="","",(VLOOKUP(F39,[1]SKU!$A$5:$D$3000,3,FALSE)))</f>
        <v/>
      </c>
      <c r="K39" s="72"/>
    </row>
    <row r="40" spans="1:12" s="6" customFormat="1" ht="15" customHeight="1" x14ac:dyDescent="0.25">
      <c r="A40" s="28"/>
      <c r="B40" s="25"/>
      <c r="C40" s="17"/>
      <c r="D40" s="14"/>
      <c r="E40" s="14"/>
      <c r="F40" s="24"/>
      <c r="G40" s="75" t="s">
        <v>43</v>
      </c>
      <c r="H40" s="76">
        <f>H39/C5</f>
        <v>1.4948172005655278</v>
      </c>
      <c r="I40" s="76" t="str">
        <f>IF(F40="","",VLOOKUP(F40,[1]SKU!$A$5:$D$3000,4,FALSE))</f>
        <v/>
      </c>
      <c r="J40" s="77" t="str">
        <f>IF(F40="","",(VLOOKUP(F40,[1]SKU!$A$5:$D$3000,3,FALSE)))</f>
        <v/>
      </c>
      <c r="K40" s="72"/>
    </row>
    <row r="41" spans="1:12" s="6" customFormat="1" ht="15" customHeight="1" x14ac:dyDescent="0.25">
      <c r="A41" s="28"/>
      <c r="B41" s="25"/>
      <c r="C41" s="15"/>
      <c r="D41" s="25" t="s">
        <v>118</v>
      </c>
      <c r="E41" s="111"/>
      <c r="F41" s="15"/>
      <c r="G41" s="95" t="str">
        <f>IF(F41="","",(VLOOKUP($F41,[1]SKU!$A$4:$D$3000,2,FALSE)))</f>
        <v/>
      </c>
      <c r="H41" s="5" t="str">
        <f t="shared" ref="H41:H48" si="9">IF(F41="","",(B41*I41))</f>
        <v/>
      </c>
      <c r="I41" s="5" t="str">
        <f>IF(F41="","",(VLOOKUP(F41,[1]SKU!$A$4:$D$3000,4,FALSE)))</f>
        <v/>
      </c>
      <c r="J41" s="108" t="str">
        <f>IF(I41="","",(VLOOKUP($F41,[1]SKU!$A$4:$D$3000,3,FALSE)))</f>
        <v/>
      </c>
      <c r="K41" s="109" t="str">
        <f t="shared" ref="K41:K53" si="10">IF(J41="","",IF(J41=$C41,"","DIFFERENT"))</f>
        <v/>
      </c>
      <c r="L41"/>
    </row>
    <row r="42" spans="1:12" s="6" customFormat="1" ht="15" customHeight="1" x14ac:dyDescent="0.25">
      <c r="A42" s="28"/>
      <c r="B42" s="113">
        <v>1.5</v>
      </c>
      <c r="C42" s="37" t="s">
        <v>63</v>
      </c>
      <c r="D42" s="32" t="s">
        <v>88</v>
      </c>
      <c r="E42" s="23" t="s">
        <v>117</v>
      </c>
      <c r="F42" s="70" t="s">
        <v>64</v>
      </c>
      <c r="G42" s="95" t="str">
        <f>IF(F42="","",(VLOOKUP($F42,[1]SKU!$A$4:$D$3000,2,FALSE)))</f>
        <v>Lamb, Shoulder Boneless, Trimmed NAMP #208-For Curtis Stone Only</v>
      </c>
      <c r="H42" s="5">
        <f t="shared" si="9"/>
        <v>11.7</v>
      </c>
      <c r="I42" s="5">
        <f>IF(F42="","",(VLOOKUP(F42,[1]SKU!$A$4:$D$3000,4,FALSE)))</f>
        <v>7.8</v>
      </c>
      <c r="J42" s="108" t="str">
        <f>IF(I42="","",(VLOOKUP($F42,[1]SKU!$A$4:$D$3000,3,FALSE)))</f>
        <v>KG</v>
      </c>
      <c r="K42" s="109" t="str">
        <f t="shared" si="10"/>
        <v/>
      </c>
      <c r="L42"/>
    </row>
    <row r="43" spans="1:12" s="6" customFormat="1" ht="15" customHeight="1" x14ac:dyDescent="0.25">
      <c r="A43" s="28"/>
      <c r="B43" s="113">
        <v>0.33500000000000002</v>
      </c>
      <c r="C43" s="114" t="s">
        <v>63</v>
      </c>
      <c r="D43" s="32" t="s">
        <v>89</v>
      </c>
      <c r="E43" s="111" t="s">
        <v>90</v>
      </c>
      <c r="F43" s="93" t="s">
        <v>91</v>
      </c>
      <c r="G43" s="95" t="str">
        <f>IF(F43="","",(VLOOKUP($F43,[1]SKU!$A$4:$D$3000,2,FALSE)))</f>
        <v>Onion Yellow, Medium 60-80 MM Dia</v>
      </c>
      <c r="H43" s="5">
        <f t="shared" si="9"/>
        <v>0.18362058435646555</v>
      </c>
      <c r="I43" s="5">
        <f>IF(F43="","",(VLOOKUP(F43,[1]SKU!$A$4:$D$3000,4,FALSE)))</f>
        <v>0.54812114733273298</v>
      </c>
      <c r="J43" s="108" t="str">
        <f>IF(I43="","",(VLOOKUP($F43,[1]SKU!$A$4:$D$3000,3,FALSE)))</f>
        <v>KG</v>
      </c>
      <c r="K43" s="109" t="str">
        <f t="shared" si="10"/>
        <v/>
      </c>
      <c r="L43"/>
    </row>
    <row r="44" spans="1:12" s="6" customFormat="1" ht="15" customHeight="1" x14ac:dyDescent="0.25">
      <c r="A44" s="28"/>
      <c r="B44" s="113">
        <v>0.25</v>
      </c>
      <c r="C44" s="114" t="s">
        <v>63</v>
      </c>
      <c r="D44" s="32" t="s">
        <v>92</v>
      </c>
      <c r="E44" s="16"/>
      <c r="F44" s="93" t="s">
        <v>93</v>
      </c>
      <c r="G44" s="95" t="str">
        <f>IF(F44="","",(VLOOKUP($F44,[1]SKU!$A$4:$D$3000,2,FALSE)))</f>
        <v>Celery, US No.1, Green, 700-800 Grms Trimmed, US 24 CT</v>
      </c>
      <c r="H44" s="5">
        <f t="shared" si="9"/>
        <v>0.21137567434590335</v>
      </c>
      <c r="I44" s="5">
        <f>IF(F44="","",(VLOOKUP(F44,[1]SKU!$A$4:$D$3000,4,FALSE)))</f>
        <v>0.84550269738361339</v>
      </c>
      <c r="J44" s="108" t="str">
        <f>IF(I44="","",(VLOOKUP($F44,[1]SKU!$A$4:$D$3000,3,FALSE)))</f>
        <v>KG</v>
      </c>
      <c r="K44" s="109" t="str">
        <f t="shared" si="10"/>
        <v/>
      </c>
      <c r="L44" s="94"/>
    </row>
    <row r="45" spans="1:12" s="6" customFormat="1" ht="15" customHeight="1" x14ac:dyDescent="0.25">
      <c r="A45" s="28"/>
      <c r="B45" s="113">
        <v>0.17</v>
      </c>
      <c r="C45" s="115" t="s">
        <v>63</v>
      </c>
      <c r="D45" s="32" t="s">
        <v>94</v>
      </c>
      <c r="E45" s="23"/>
      <c r="F45" s="93" t="s">
        <v>95</v>
      </c>
      <c r="G45" s="95" t="str">
        <f>IF(F45="","",(VLOOKUP($F45,[1]SKU!$A$4:$D$3000,2,FALSE)))</f>
        <v>Carrots, Medium, 200-300 MM No Top</v>
      </c>
      <c r="H45" s="5">
        <f t="shared" si="9"/>
        <v>0.10613936613601282</v>
      </c>
      <c r="I45" s="5">
        <f>IF(F45="","",(VLOOKUP(F45,[1]SKU!$A$4:$D$3000,4,FALSE)))</f>
        <v>0.62434921256478126</v>
      </c>
      <c r="J45" s="108" t="str">
        <f>IF(I45="","",(VLOOKUP($F45,[1]SKU!$A$4:$D$3000,3,FALSE)))</f>
        <v>KG</v>
      </c>
      <c r="K45" s="109" t="str">
        <f t="shared" si="10"/>
        <v/>
      </c>
      <c r="L45" s="94"/>
    </row>
    <row r="46" spans="1:12" s="6" customFormat="1" ht="15" customHeight="1" x14ac:dyDescent="0.25">
      <c r="A46" s="28"/>
      <c r="B46" s="113">
        <v>0.15</v>
      </c>
      <c r="C46" s="115" t="s">
        <v>63</v>
      </c>
      <c r="D46" s="24" t="s">
        <v>96</v>
      </c>
      <c r="E46" s="16"/>
      <c r="F46" s="93" t="s">
        <v>97</v>
      </c>
      <c r="G46" s="95" t="str">
        <f>IF(F46="","",(VLOOKUP($F46,[1]SKU!$A$4:$D$3000,2,FALSE)))</f>
        <v>Tomato Paste 26 - 28% Solids #10</v>
      </c>
      <c r="H46" s="5">
        <f t="shared" si="9"/>
        <v>0.58483317590420181</v>
      </c>
      <c r="I46" s="5">
        <f>IF(F46="","",(VLOOKUP(F46,[1]SKU!$A$4:$D$3000,4,FALSE)))</f>
        <v>3.8988878393613455</v>
      </c>
      <c r="J46" s="108" t="str">
        <f>IF(I46="","",(VLOOKUP($F46,[1]SKU!$A$4:$D$3000,3,FALSE)))</f>
        <v>EA</v>
      </c>
      <c r="K46" s="109" t="str">
        <f t="shared" si="10"/>
        <v>DIFFERENT</v>
      </c>
      <c r="L46" s="94">
        <f>I46/3.15*0.15</f>
        <v>0.18566132568387361</v>
      </c>
    </row>
    <row r="47" spans="1:12" s="6" customFormat="1" ht="15" customHeight="1" x14ac:dyDescent="0.25">
      <c r="A47" s="28"/>
      <c r="B47" s="113">
        <v>2.5000000000000001E-2</v>
      </c>
      <c r="C47" s="115" t="s">
        <v>63</v>
      </c>
      <c r="D47" s="32" t="s">
        <v>98</v>
      </c>
      <c r="E47" s="16"/>
      <c r="F47" s="93" t="s">
        <v>71</v>
      </c>
      <c r="G47" s="95" t="str">
        <f>IF(F47="","",(VLOOKUP($F47,[1]SKU!$A$4:$D$3000,2,FALSE)))</f>
        <v>Herb, Sage, Bulk, Fresh</v>
      </c>
      <c r="H47" s="5">
        <f t="shared" si="9"/>
        <v>0.3439606168147985</v>
      </c>
      <c r="I47" s="5">
        <f>IF(F47="","",(VLOOKUP(F47,[1]SKU!$A$4:$D$3000,4,FALSE)))</f>
        <v>13.758424672591939</v>
      </c>
      <c r="J47" s="108" t="str">
        <f>IF(I47="","",(VLOOKUP($F47,[1]SKU!$A$4:$D$3000,3,FALSE)))</f>
        <v>KG</v>
      </c>
      <c r="K47" s="109" t="str">
        <f t="shared" si="10"/>
        <v/>
      </c>
      <c r="L47" s="94"/>
    </row>
    <row r="48" spans="1:12" s="6" customFormat="1" ht="15" customHeight="1" x14ac:dyDescent="0.25">
      <c r="A48" s="28"/>
      <c r="B48" s="113">
        <v>0.01</v>
      </c>
      <c r="C48" s="115" t="s">
        <v>63</v>
      </c>
      <c r="D48" s="32" t="s">
        <v>99</v>
      </c>
      <c r="E48" s="16"/>
      <c r="F48" s="93" t="s">
        <v>100</v>
      </c>
      <c r="G48" s="95" t="str">
        <f>IF(F48="","",(VLOOKUP($F48,[1]SKU!$A$4:$D$3000,2,FALSE)))</f>
        <v>Herb, Thyme, Bulk, Fresh</v>
      </c>
      <c r="H48" s="5">
        <f t="shared" si="9"/>
        <v>0.11792338379146404</v>
      </c>
      <c r="I48" s="5">
        <f>IF(F48="","",(VLOOKUP(F48,[1]SKU!$A$4:$D$3000,4,FALSE)))</f>
        <v>11.792338379146404</v>
      </c>
      <c r="J48" s="108" t="str">
        <f>IF(I48="","",(VLOOKUP($F48,[1]SKU!$A$4:$D$3000,3,FALSE)))</f>
        <v>KG</v>
      </c>
      <c r="K48" s="109" t="str">
        <f t="shared" si="10"/>
        <v/>
      </c>
      <c r="L48"/>
    </row>
    <row r="49" spans="1:12" s="6" customFormat="1" ht="15" customHeight="1" x14ac:dyDescent="0.25">
      <c r="A49" s="28"/>
      <c r="B49" s="113">
        <v>1</v>
      </c>
      <c r="C49" s="115" t="s">
        <v>101</v>
      </c>
      <c r="D49" s="32" t="s">
        <v>102</v>
      </c>
      <c r="E49" s="23"/>
      <c r="F49" s="93" t="s">
        <v>103</v>
      </c>
      <c r="G49" s="95" t="str">
        <f>IF(F49="","",(VLOOKUP($F49,[1]SKU!$A$4:$D$3000,2,FALSE)))</f>
        <v>Wine Red 18 Ltr Bag (Crew) Alcohol 13.5% Food Item</v>
      </c>
      <c r="H49" s="5">
        <f>L49</f>
        <v>1.0189609991171604</v>
      </c>
      <c r="I49" s="5">
        <f>IF(F49="","",(VLOOKUP(F49,[1]SKU!$A$4:$D$3000,4,FALSE)))</f>
        <v>18.341297984108888</v>
      </c>
      <c r="J49" s="108" t="str">
        <f>IF(I49="","",(VLOOKUP($F49,[1]SKU!$A$4:$D$3000,3,FALSE)))</f>
        <v>EA</v>
      </c>
      <c r="K49" s="109" t="str">
        <f t="shared" si="10"/>
        <v>DIFFERENT</v>
      </c>
      <c r="L49" s="94">
        <f>I49/18*1</f>
        <v>1.0189609991171604</v>
      </c>
    </row>
    <row r="50" spans="1:12" s="6" customFormat="1" ht="15" customHeight="1" x14ac:dyDescent="0.25">
      <c r="A50" s="28"/>
      <c r="B50" s="113">
        <v>0.5</v>
      </c>
      <c r="C50" s="115" t="s">
        <v>101</v>
      </c>
      <c r="D50" s="32" t="s">
        <v>104</v>
      </c>
      <c r="E50" s="23"/>
      <c r="F50" s="93"/>
      <c r="G50" s="95" t="str">
        <f>IF(F50="","",(VLOOKUP($F50,[1]SKU!$A$4:$D$3000,2,FALSE)))</f>
        <v/>
      </c>
      <c r="H50" s="5" t="str">
        <f t="shared" ref="H50:H51" si="11">IF(F50="","",(B50*I50))</f>
        <v/>
      </c>
      <c r="I50" s="5" t="str">
        <f>IF(F50="","",(VLOOKUP(F50,[1]SKU!$A$4:$D$3000,4,FALSE)))</f>
        <v/>
      </c>
      <c r="J50" s="108" t="str">
        <f>IF(I50="","",(VLOOKUP($F50,[1]SKU!$A$4:$D$3000,3,FALSE)))</f>
        <v/>
      </c>
      <c r="K50" s="109" t="str">
        <f t="shared" si="10"/>
        <v/>
      </c>
      <c r="L50"/>
    </row>
    <row r="51" spans="1:12" s="6" customFormat="1" ht="15" customHeight="1" x14ac:dyDescent="0.25">
      <c r="A51" s="28"/>
      <c r="B51" s="113">
        <v>1.8</v>
      </c>
      <c r="C51" s="115" t="s">
        <v>63</v>
      </c>
      <c r="D51" s="32" t="s">
        <v>105</v>
      </c>
      <c r="E51" s="23"/>
      <c r="F51" s="93" t="s">
        <v>106</v>
      </c>
      <c r="G51" s="95" t="str">
        <f>IF(F51="","",(VLOOKUP($F51,[1]SKU!$A$4:$D$3000,2,FALSE)))</f>
        <v>Tomatoes Peeled Cubes #10</v>
      </c>
      <c r="H51" s="5">
        <f t="shared" si="11"/>
        <v>0.95716601193842088</v>
      </c>
      <c r="I51" s="5">
        <f>IF(F51="","",(VLOOKUP(F51,[1]SKU!$A$4:$D$3000,4,FALSE)))</f>
        <v>0.53175889552134492</v>
      </c>
      <c r="J51" s="108" t="str">
        <f>IF(I51="","",(VLOOKUP($F51,[1]SKU!$A$4:$D$3000,3,FALSE)))</f>
        <v>KG</v>
      </c>
      <c r="K51" s="109" t="str">
        <f t="shared" si="10"/>
        <v/>
      </c>
      <c r="L51"/>
    </row>
    <row r="52" spans="1:12" s="6" customFormat="1" ht="15" customHeight="1" x14ac:dyDescent="0.25">
      <c r="A52" s="28"/>
      <c r="B52" s="116">
        <v>5.0000000000000001E-3</v>
      </c>
      <c r="C52" s="117" t="s">
        <v>63</v>
      </c>
      <c r="D52" s="111" t="s">
        <v>107</v>
      </c>
      <c r="E52" s="16" t="s">
        <v>90</v>
      </c>
      <c r="F52" s="93" t="s">
        <v>108</v>
      </c>
      <c r="G52" s="95" t="str">
        <f>IF(F52="","",(VLOOKUP($F52,[1]SKU!$A$4:$D$3000,2,FALSE)))</f>
        <v>GARLIC PEELED 1 GAL</v>
      </c>
      <c r="H52" s="5">
        <f>L52</f>
        <v>1.130089347351964E-2</v>
      </c>
      <c r="I52" s="5">
        <f>IF(F52="","",(VLOOKUP(F52,[1]SKU!$A$4:$D$3000,4,FALSE)))</f>
        <v>11.940524044120853</v>
      </c>
      <c r="J52" s="108" t="str">
        <f>IF(I52="","",(VLOOKUP($F52,[1]SKU!$A$4:$D$3000,3,FALSE)))</f>
        <v>EA</v>
      </c>
      <c r="K52" s="109" t="str">
        <f t="shared" si="10"/>
        <v>DIFFERENT</v>
      </c>
      <c r="L52" s="94">
        <f>I52/5.283*0.005</f>
        <v>1.130089347351964E-2</v>
      </c>
    </row>
    <row r="53" spans="1:12" s="6" customFormat="1" ht="14.25" customHeight="1" x14ac:dyDescent="0.25">
      <c r="A53" s="28"/>
      <c r="B53" s="113">
        <v>8.0000000000000002E-3</v>
      </c>
      <c r="C53" s="117" t="s">
        <v>63</v>
      </c>
      <c r="D53" s="15" t="s">
        <v>109</v>
      </c>
      <c r="E53" s="26"/>
      <c r="F53" s="93" t="s">
        <v>110</v>
      </c>
      <c r="G53" s="95" t="str">
        <f>IF(F53="","",(VLOOKUP($F53,[1]SKU!$A$4:$D$3000,2,FALSE)))</f>
        <v>Herb, Rosemary, Bulk, Fresh</v>
      </c>
      <c r="H53" s="5">
        <f t="shared" ref="H53" si="12">IF(F53="","",(B53*I53))</f>
        <v>8.7550687907313532E-2</v>
      </c>
      <c r="I53" s="5">
        <f>IF(F53="","",(VLOOKUP(F53,[1]SKU!$A$4:$D$3000,4,FALSE)))</f>
        <v>10.943835988414191</v>
      </c>
      <c r="J53" s="108" t="str">
        <f>IF(I53="","",(VLOOKUP($F53,[1]SKU!$A$4:$D$3000,3,FALSE)))</f>
        <v>KG</v>
      </c>
      <c r="K53" s="109" t="str">
        <f t="shared" si="10"/>
        <v/>
      </c>
      <c r="L53" s="94"/>
    </row>
    <row r="54" spans="1:12" s="6" customFormat="1" ht="15" customHeight="1" x14ac:dyDescent="0.25">
      <c r="A54" s="28"/>
      <c r="B54" s="125"/>
      <c r="C54" s="125"/>
      <c r="D54" s="125" t="s">
        <v>134</v>
      </c>
      <c r="E54" s="125"/>
      <c r="F54" s="15"/>
      <c r="G54" s="95" t="str">
        <f>IF(F54="","",(VLOOKUP($F54,[1]SKU!$A$4:$D$3000,2,FALSE)))</f>
        <v/>
      </c>
      <c r="H54" s="5" t="str">
        <f t="shared" ref="H54:H55" si="13">IF(F54="","",(B54*I54))</f>
        <v/>
      </c>
      <c r="I54" s="5" t="str">
        <f>IF(F54="","",(VLOOKUP(F54,[1]SKU!$A$4:$D$3000,4,FALSE)))</f>
        <v/>
      </c>
      <c r="J54" s="108" t="str">
        <f>IF(I54="","",(VLOOKUP($F54,[1]SKU!$A$4:$D$3000,3,FALSE)))</f>
        <v/>
      </c>
      <c r="K54" s="109" t="str">
        <f t="shared" ref="K54:K57" si="14">IF(J54="","",IF(J54=$C54,"","DIFFERENT"))</f>
        <v/>
      </c>
      <c r="L54"/>
    </row>
    <row r="55" spans="1:12" s="6" customFormat="1" ht="15" customHeight="1" x14ac:dyDescent="0.25">
      <c r="A55" s="28"/>
      <c r="B55" s="113">
        <v>2</v>
      </c>
      <c r="C55" s="37" t="s">
        <v>63</v>
      </c>
      <c r="D55" s="111" t="s">
        <v>86</v>
      </c>
      <c r="E55" s="23"/>
      <c r="F55" s="93" t="s">
        <v>124</v>
      </c>
      <c r="G55" s="95" t="str">
        <f>IF(F55="","",(VLOOKUP($F55,[1]SKU!$A$4:$D$3000,2,FALSE)))</f>
        <v>Flour Bakers Hard Wheat 1/50 (Manitoba Typo 00)</v>
      </c>
      <c r="H55" s="5">
        <f t="shared" si="13"/>
        <v>1.2080038839839029</v>
      </c>
      <c r="I55" s="5">
        <f>IF(F55="","",(VLOOKUP(F55,[1]SKU!$A$4:$D$3000,4,FALSE)))</f>
        <v>0.60400194199195145</v>
      </c>
      <c r="J55" s="108" t="str">
        <f>IF(I55="","",(VLOOKUP($F55,[1]SKU!$A$4:$D$3000,3,FALSE)))</f>
        <v>KG</v>
      </c>
      <c r="K55" s="109" t="str">
        <f t="shared" si="14"/>
        <v/>
      </c>
      <c r="L55"/>
    </row>
    <row r="56" spans="1:12" s="6" customFormat="1" ht="15" customHeight="1" x14ac:dyDescent="0.25">
      <c r="A56" s="28"/>
      <c r="B56" s="113">
        <v>1.8</v>
      </c>
      <c r="C56" s="37" t="s">
        <v>126</v>
      </c>
      <c r="D56" s="111" t="s">
        <v>127</v>
      </c>
      <c r="E56" s="23"/>
      <c r="F56" s="93" t="s">
        <v>125</v>
      </c>
      <c r="G56" s="95" t="str">
        <f>IF(F56="","",(VLOOKUP($F56,[1]SKU!$A$4:$D$3000,2,FALSE)))</f>
        <v>Egg Pasturized Frozen Yolks Sugar Added Tetra Pak</v>
      </c>
      <c r="H56" s="5">
        <f>L56</f>
        <v>14.467764100954003</v>
      </c>
      <c r="I56" s="5">
        <f>IF(F56="","",(VLOOKUP(F56,[1]SKU!$A$4:$D$3000,4,FALSE)))</f>
        <v>2.8935528201908007</v>
      </c>
      <c r="J56" s="108" t="str">
        <f>IF(I56="","",(VLOOKUP($F56,[1]SKU!$A$4:$D$3000,3,FALSE)))</f>
        <v>KG</v>
      </c>
      <c r="K56" s="109" t="str">
        <f t="shared" si="14"/>
        <v>DIFFERENT</v>
      </c>
      <c r="L56" s="94">
        <f>I56/12*60</f>
        <v>14.467764100954003</v>
      </c>
    </row>
    <row r="57" spans="1:12" s="6" customFormat="1" ht="15" customHeight="1" x14ac:dyDescent="0.25">
      <c r="A57" s="28"/>
      <c r="B57" s="115">
        <v>0.05</v>
      </c>
      <c r="C57" s="17" t="s">
        <v>115</v>
      </c>
      <c r="D57" s="32" t="s">
        <v>87</v>
      </c>
      <c r="E57" s="23"/>
      <c r="F57" s="93" t="s">
        <v>69</v>
      </c>
      <c r="G57" s="95" t="str">
        <f>IF(F57="","",(VLOOKUP($F57,[1]SKU!$A$4:$D$3000,2,FALSE)))</f>
        <v>Herb, Mint</v>
      </c>
      <c r="H57" s="5">
        <f t="shared" ref="H57" si="15">IF(F57="","",(B57*I57))</f>
        <v>0.3947052955357887</v>
      </c>
      <c r="I57" s="5">
        <f>IF(F57="","",(VLOOKUP(F57,[1]SKU!$A$4:$D$3000,4,FALSE)))</f>
        <v>7.8941059107157736</v>
      </c>
      <c r="J57" s="108" t="str">
        <f>IF(I57="","",(VLOOKUP($F57,[1]SKU!$A$4:$D$3000,3,FALSE)))</f>
        <v>KG</v>
      </c>
      <c r="K57" s="109" t="str">
        <f t="shared" si="14"/>
        <v/>
      </c>
      <c r="L57"/>
    </row>
    <row r="58" spans="1:12" s="6" customFormat="1" ht="15" customHeight="1" x14ac:dyDescent="0.25">
      <c r="A58" s="28"/>
      <c r="B58" s="25"/>
      <c r="C58" s="17"/>
      <c r="D58" s="14"/>
      <c r="E58" s="14"/>
      <c r="F58" s="24"/>
      <c r="G58" s="75"/>
      <c r="H58" s="76"/>
      <c r="I58" s="76"/>
      <c r="J58" s="77"/>
      <c r="K58" s="72"/>
    </row>
    <row r="59" spans="1:12" s="6" customFormat="1" ht="15" customHeight="1" x14ac:dyDescent="0.25">
      <c r="A59" s="28" t="s">
        <v>3</v>
      </c>
      <c r="B59" s="25"/>
      <c r="C59" s="17"/>
      <c r="D59" s="14"/>
      <c r="E59" s="14"/>
      <c r="F59" s="24"/>
      <c r="G59" s="75"/>
      <c r="H59" s="76"/>
      <c r="I59" s="76"/>
      <c r="J59" s="77"/>
      <c r="K59" s="72"/>
    </row>
    <row r="60" spans="1:12" s="6" customFormat="1" ht="15" customHeight="1" x14ac:dyDescent="0.25">
      <c r="A60" s="18"/>
      <c r="B60" s="15" t="s">
        <v>111</v>
      </c>
      <c r="C60" s="15"/>
      <c r="D60" s="14"/>
      <c r="E60" s="14"/>
      <c r="F60" s="24"/>
      <c r="G60" s="62"/>
      <c r="H60" s="76"/>
      <c r="I60" s="76"/>
      <c r="J60" s="77"/>
      <c r="K60" s="72"/>
    </row>
    <row r="61" spans="1:12" s="6" customFormat="1" ht="15" customHeight="1" x14ac:dyDescent="0.25">
      <c r="A61" s="100"/>
      <c r="B61" s="14" t="s">
        <v>112</v>
      </c>
      <c r="C61" s="14"/>
      <c r="D61" s="14"/>
      <c r="E61" s="14"/>
      <c r="F61" s="24"/>
      <c r="G61" s="62"/>
      <c r="H61" s="76"/>
      <c r="I61" s="76" t="str">
        <f>IF(F61="","",VLOOKUP(F61,[1]SKU!$A$5:$D$3000,4,FALSE))</f>
        <v/>
      </c>
      <c r="J61" s="77" t="str">
        <f>IF(F61="","",(VLOOKUP(F61,[1]SKU!$A$5:$D$3000,3,FALSE)))</f>
        <v/>
      </c>
      <c r="K61" s="72"/>
    </row>
    <row r="62" spans="1:12" s="6" customFormat="1" ht="15" customHeight="1" x14ac:dyDescent="0.25">
      <c r="A62" s="100"/>
      <c r="B62" s="14"/>
      <c r="C62" s="14"/>
      <c r="D62" s="14"/>
      <c r="E62" s="14"/>
      <c r="F62" s="24"/>
      <c r="G62" s="62"/>
      <c r="H62" s="76"/>
      <c r="I62" s="76"/>
      <c r="J62" s="77"/>
      <c r="K62" s="72"/>
    </row>
    <row r="63" spans="1:12" s="6" customFormat="1" ht="15" customHeight="1" x14ac:dyDescent="0.25">
      <c r="A63" s="100"/>
      <c r="B63" s="15" t="s">
        <v>138</v>
      </c>
      <c r="C63" s="14"/>
      <c r="D63" s="14"/>
      <c r="E63" s="14"/>
      <c r="F63" s="24"/>
      <c r="G63" s="62"/>
      <c r="H63" s="62"/>
      <c r="I63" s="76" t="str">
        <f>IF(F63="","",VLOOKUP(F63,[1]SKU!$A$5:$D$3000,4,FALSE))</f>
        <v/>
      </c>
      <c r="J63" s="77" t="str">
        <f>IF(F63="","",(VLOOKUP(F63,[1]SKU!$A$5:$D$3000,3,FALSE)))</f>
        <v/>
      </c>
      <c r="K63" s="72"/>
    </row>
    <row r="64" spans="1:12" s="6" customFormat="1" ht="15" customHeight="1" x14ac:dyDescent="0.25">
      <c r="A64" s="100"/>
      <c r="B64" s="14"/>
      <c r="C64" s="14"/>
      <c r="D64" s="14"/>
      <c r="E64" s="14"/>
      <c r="F64" s="24"/>
      <c r="G64" s="62"/>
      <c r="H64" s="76"/>
      <c r="I64" s="76"/>
      <c r="J64" s="77"/>
      <c r="K64" s="72"/>
    </row>
    <row r="65" spans="1:11" s="6" customFormat="1" ht="15" customHeight="1" x14ac:dyDescent="0.25">
      <c r="A65" s="100"/>
      <c r="B65" s="15" t="s">
        <v>137</v>
      </c>
      <c r="C65" s="14"/>
      <c r="D65" s="14"/>
      <c r="E65" s="14"/>
      <c r="F65" s="24"/>
      <c r="G65" s="62"/>
      <c r="H65" s="76"/>
      <c r="I65" s="76" t="str">
        <f>IF(F65="","",VLOOKUP(F65,[1]SKU!$A$5:$D$3000,4,FALSE))</f>
        <v/>
      </c>
      <c r="J65" s="77" t="str">
        <f>IF(F65="","",(VLOOKUP(F65,[1]SKU!$A$5:$D$3000,3,FALSE)))</f>
        <v/>
      </c>
      <c r="K65" s="72"/>
    </row>
    <row r="66" spans="1:11" s="6" customFormat="1" ht="15" customHeight="1" x14ac:dyDescent="0.25">
      <c r="A66" s="100"/>
      <c r="B66" s="14"/>
      <c r="C66" s="14"/>
      <c r="D66" s="14"/>
      <c r="E66" s="14"/>
      <c r="F66" s="24"/>
      <c r="G66" s="62"/>
      <c r="H66" s="76"/>
      <c r="I66" s="76"/>
      <c r="J66" s="77"/>
      <c r="K66" s="72"/>
    </row>
    <row r="67" spans="1:11" s="6" customFormat="1" ht="15" customHeight="1" x14ac:dyDescent="0.25">
      <c r="A67" s="100"/>
      <c r="B67" s="15" t="s">
        <v>139</v>
      </c>
      <c r="C67" s="14"/>
      <c r="D67" s="14"/>
      <c r="E67" s="14"/>
      <c r="F67" s="24"/>
      <c r="G67" s="62"/>
      <c r="H67" s="76"/>
      <c r="I67" s="76"/>
      <c r="J67" s="77"/>
      <c r="K67" s="72"/>
    </row>
    <row r="68" spans="1:11" s="6" customFormat="1" ht="15" customHeight="1" x14ac:dyDescent="0.25">
      <c r="A68" s="100"/>
      <c r="B68" s="15"/>
      <c r="C68" s="37"/>
      <c r="D68" s="14"/>
      <c r="E68" s="14"/>
      <c r="F68" s="24"/>
      <c r="G68" s="62"/>
      <c r="H68" s="76"/>
      <c r="I68" s="76"/>
      <c r="J68" s="77"/>
      <c r="K68" s="72"/>
    </row>
    <row r="69" spans="1:11" s="6" customFormat="1" x14ac:dyDescent="0.25">
      <c r="A69" s="100"/>
      <c r="B69" s="14"/>
      <c r="C69" s="37"/>
      <c r="D69" s="14"/>
      <c r="E69" s="14"/>
      <c r="F69" s="24"/>
      <c r="G69" s="62"/>
      <c r="H69" s="76"/>
      <c r="I69" s="76" t="str">
        <f>IF(F69="","",VLOOKUP(F69,[1]SKU!$A$5:$D$3000,4,FALSE))</f>
        <v/>
      </c>
      <c r="J69" s="77" t="str">
        <f>IF(F69="","",(VLOOKUP(F69,[1]SKU!$A$5:$D$3000,3,FALSE)))</f>
        <v/>
      </c>
      <c r="K69" s="72"/>
    </row>
    <row r="70" spans="1:11" s="6" customFormat="1" x14ac:dyDescent="0.25">
      <c r="A70" s="100"/>
      <c r="B70" s="15"/>
      <c r="C70" s="37"/>
      <c r="D70" s="14"/>
      <c r="E70" s="14"/>
      <c r="F70" s="24"/>
      <c r="G70" s="62"/>
      <c r="H70" s="76"/>
      <c r="I70" s="76" t="str">
        <f>IF(F70="","",VLOOKUP(F70,[1]SKU!$A$5:$D$3000,4,FALSE))</f>
        <v/>
      </c>
      <c r="J70" s="77" t="str">
        <f>IF(F70="","",(VLOOKUP(F70,[1]SKU!$A$5:$D$3000,3,FALSE)))</f>
        <v/>
      </c>
      <c r="K70" s="72"/>
    </row>
    <row r="71" spans="1:11" s="6" customFormat="1" x14ac:dyDescent="0.25">
      <c r="A71" s="100"/>
      <c r="B71" s="15"/>
      <c r="C71" s="37"/>
      <c r="D71" s="14"/>
      <c r="E71" s="14"/>
      <c r="F71" s="24"/>
      <c r="G71" s="62"/>
      <c r="H71" s="76"/>
      <c r="I71" s="76" t="str">
        <f>IF(F71="","",VLOOKUP(F71,[1]SKU!$A$5:$D$3000,4,FALSE))</f>
        <v/>
      </c>
      <c r="J71" s="77" t="str">
        <f>IF(F71="","",(VLOOKUP(F71,[1]SKU!$A$5:$D$3000,3,FALSE)))</f>
        <v/>
      </c>
      <c r="K71" s="72"/>
    </row>
    <row r="72" spans="1:11" s="6" customFormat="1" x14ac:dyDescent="0.25">
      <c r="A72" s="100"/>
      <c r="B72" s="15"/>
      <c r="C72" s="37"/>
      <c r="D72" s="14"/>
      <c r="E72" s="14"/>
      <c r="F72" s="24"/>
      <c r="G72" s="62"/>
      <c r="H72" s="76"/>
      <c r="I72" s="76" t="str">
        <f>IF(F72="","",VLOOKUP(F72,[1]SKU!$A$5:$D$3000,4,FALSE))</f>
        <v/>
      </c>
      <c r="J72" s="77" t="str">
        <f>IF(F72="","",(VLOOKUP(F72,[1]SKU!$A$5:$D$3000,3,FALSE)))</f>
        <v/>
      </c>
      <c r="K72" s="72"/>
    </row>
    <row r="73" spans="1:11" s="6" customFormat="1" x14ac:dyDescent="0.25">
      <c r="A73" s="37"/>
      <c r="B73" s="14"/>
      <c r="C73" s="37"/>
      <c r="D73" s="14"/>
      <c r="E73" s="14"/>
      <c r="F73" s="24"/>
      <c r="G73" s="62" t="str">
        <f>IF(F73="","",(VLOOKUP(F73,[1]SKU!$A$5:$D$3000,2,FALSE)))</f>
        <v/>
      </c>
      <c r="H73" s="76"/>
      <c r="I73" s="76" t="str">
        <f>IF(F73="","",VLOOKUP(F73,[1]SKU!$A$5:$D$3000,4,FALSE))</f>
        <v/>
      </c>
      <c r="J73" s="77" t="str">
        <f>IF(F73="","",(VLOOKUP(F73,[1]SKU!$A$5:$D$3000,3,FALSE)))</f>
        <v/>
      </c>
      <c r="K73" s="72"/>
    </row>
    <row r="74" spans="1:11" s="6" customFormat="1" x14ac:dyDescent="0.25">
      <c r="A74" s="100"/>
      <c r="B74" s="15"/>
      <c r="C74" s="37"/>
      <c r="D74" s="14"/>
      <c r="E74" s="14"/>
      <c r="F74" s="24"/>
      <c r="G74" s="62" t="str">
        <f>IF(F74="","",(VLOOKUP(F74,[1]SKU!$A$5:$D$3000,2,FALSE)))</f>
        <v/>
      </c>
      <c r="H74" s="76"/>
      <c r="I74" s="76" t="str">
        <f>IF(F74="","",VLOOKUP(F74,[1]SKU!$A$5:$D$3000,4,FALSE))</f>
        <v/>
      </c>
      <c r="J74" s="77" t="str">
        <f>IF(F74="","",(VLOOKUP(F74,[1]SKU!$A$5:$D$3000,3,FALSE)))</f>
        <v/>
      </c>
      <c r="K74" s="72"/>
    </row>
    <row r="75" spans="1:11" s="6" customFormat="1" x14ac:dyDescent="0.25">
      <c r="A75" s="100"/>
      <c r="B75" s="14"/>
      <c r="C75" s="37"/>
      <c r="D75" s="14"/>
      <c r="E75" s="14"/>
      <c r="F75" s="24"/>
      <c r="G75" s="62" t="str">
        <f>IF(F75="","",(VLOOKUP(F75,[2]SKU!$A$5:$D$3000,2,FALSE)))</f>
        <v/>
      </c>
      <c r="H75" s="76"/>
      <c r="I75" s="76" t="str">
        <f>IF(F75="","",VLOOKUP(F75,[1]SKU!$A$5:$D$3000,4,FALSE))</f>
        <v/>
      </c>
      <c r="J75" s="77" t="str">
        <f>IF(F75="","",(VLOOKUP(F75,[1]SKU!$A$5:$D$3000,3,FALSE)))</f>
        <v/>
      </c>
      <c r="K75" s="72"/>
    </row>
    <row r="76" spans="1:11" s="6" customFormat="1" x14ac:dyDescent="0.25">
      <c r="A76" s="100"/>
      <c r="B76" s="15"/>
      <c r="C76" s="37"/>
      <c r="D76" s="97"/>
      <c r="E76" s="14"/>
      <c r="F76" s="24"/>
      <c r="G76" s="48" t="str">
        <f>IF(F76="","",(VLOOKUP(F76,[2]SKU!$A$5:$D$3000,2,FALSE)))</f>
        <v/>
      </c>
      <c r="H76" s="49"/>
      <c r="I76" s="49" t="str">
        <f>IF(F76="","",VLOOKUP(F76,[1]SKU!$A$5:$D$3000,4,FALSE))</f>
        <v/>
      </c>
      <c r="J76" s="50" t="str">
        <f>IF(F76="","",(VLOOKUP(F76,[1]SKU!$A$5:$D$3000,3,FALSE)))</f>
        <v/>
      </c>
      <c r="K76" s="51"/>
    </row>
    <row r="77" spans="1:11" s="6" customFormat="1" x14ac:dyDescent="0.25">
      <c r="A77" s="100"/>
      <c r="B77" s="15"/>
      <c r="C77" s="17"/>
      <c r="D77" s="14"/>
      <c r="E77" s="14"/>
      <c r="F77" s="24"/>
      <c r="G77" s="33" t="str">
        <f>IF(F77="","",(VLOOKUP(F77,[2]SKU!$A$5:$D$3000,2,FALSE)))</f>
        <v/>
      </c>
      <c r="H77" s="35"/>
      <c r="I77" s="35" t="str">
        <f>IF(F77="","",VLOOKUP(F77,[1]SKU!$A$5:$D$3000,4,FALSE))</f>
        <v/>
      </c>
      <c r="J77" s="45" t="str">
        <f>IF(F77="","",(VLOOKUP(F77,[1]SKU!$A$5:$D$3000,3,FALSE)))</f>
        <v/>
      </c>
      <c r="K77" s="41"/>
    </row>
    <row r="78" spans="1:11" x14ac:dyDescent="0.25">
      <c r="A78" s="100"/>
      <c r="B78" s="27"/>
      <c r="C78" s="14"/>
      <c r="D78" s="37"/>
      <c r="E78" s="32" t="s">
        <v>14</v>
      </c>
      <c r="F78" s="17"/>
      <c r="G78" s="33" t="str">
        <f>IF(F78="","",(VLOOKUP(F78,[2]SKU!$A$5:$D$3000,2,FALSE)))</f>
        <v/>
      </c>
      <c r="H78" s="34"/>
      <c r="I78" s="34" t="str">
        <f>IF(F78="","",VLOOKUP(F78,[1]SKU!$A$5:$D$3000,4,FALSE))</f>
        <v/>
      </c>
      <c r="J78" s="44" t="str">
        <f>IF(F78="","",(VLOOKUP(F78,[1]SKU!$A$5:$D$3000,3,FALSE)))</f>
        <v/>
      </c>
      <c r="K78" s="41"/>
    </row>
    <row r="79" spans="1:11" x14ac:dyDescent="0.25">
      <c r="A79" s="100"/>
      <c r="B79" s="15"/>
      <c r="C79" s="15"/>
      <c r="D79" s="37"/>
      <c r="E79" s="14"/>
      <c r="F79" s="17"/>
      <c r="G79" s="33" t="str">
        <f>IF(F79="","",(VLOOKUP(F79,[2]SKU!$A$5:$B$3000,2,FALSE)))</f>
        <v/>
      </c>
      <c r="H79" s="34"/>
      <c r="I79" s="34" t="str">
        <f>IF(F79="","",VLOOKUP(F79,[1]SKU!$A$5:$D$3000,4,FALSE))</f>
        <v/>
      </c>
      <c r="J79" s="44" t="str">
        <f>IF(F79="","",(VLOOKUP(F79,[1]SKU!$A$5:$D$3000,3,FALSE)))</f>
        <v/>
      </c>
      <c r="K79" s="41"/>
    </row>
    <row r="80" spans="1:11" x14ac:dyDescent="0.25">
      <c r="G80" s="6" t="str">
        <f>IF(F80="","",(VLOOKUP(F80,[2]SKU!$A$5:$B$3000,2,FALSE)))</f>
        <v/>
      </c>
      <c r="I80" s="5" t="str">
        <f>IF(F80="","",VLOOKUP(F80,[1]SKU!$A$5:$D$3000,4,FALSE))</f>
        <v/>
      </c>
      <c r="J80" s="46" t="str">
        <f>IF(F80="","",(VLOOKUP(F80,[1]SKU!$A$5:$D$3000,3,FALSE)))</f>
        <v/>
      </c>
      <c r="K80" s="42"/>
    </row>
    <row r="81" spans="7:7" x14ac:dyDescent="0.25">
      <c r="G81" s="6" t="str">
        <f>IF(F81="","",(VLOOKUP(F81,[2]SKU!$A$5:$B$3000,2,FALSE)))</f>
        <v/>
      </c>
    </row>
    <row r="82" spans="7:7" x14ac:dyDescent="0.25">
      <c r="G82" s="6" t="str">
        <f>IF(F82="","",(VLOOKUP(F82,[2]SKU!$A$5:$B$3000,2,FALSE)))</f>
        <v/>
      </c>
    </row>
    <row r="83" spans="7:7" x14ac:dyDescent="0.25">
      <c r="G83" s="6" t="str">
        <f>IF(F83="","",(VLOOKUP(F83,[2]SKU!$A$5:$B$3000,2,FALSE)))</f>
        <v/>
      </c>
    </row>
    <row r="84" spans="7:7" x14ac:dyDescent="0.25">
      <c r="G84" s="6" t="str">
        <f>IF(F84="","",(VLOOKUP(F84,[2]SKU!$A$5:$B$3000,2,FALSE)))</f>
        <v/>
      </c>
    </row>
  </sheetData>
  <mergeCells count="3">
    <mergeCell ref="B2:F2"/>
    <mergeCell ref="B54:C54"/>
    <mergeCell ref="D54:E54"/>
  </mergeCells>
  <conditionalFormatting sqref="K69:K80 K39:K40 K17:K37 K58:K62">
    <cfRule type="cellIs" dxfId="5" priority="25" operator="equal">
      <formula>"DIFFERENT"</formula>
    </cfRule>
  </conditionalFormatting>
  <conditionalFormatting sqref="K63:K68">
    <cfRule type="cellIs" dxfId="4" priority="13" operator="equal">
      <formula>"DIFFERENT"</formula>
    </cfRule>
  </conditionalFormatting>
  <conditionalFormatting sqref="K38">
    <cfRule type="containsText" dxfId="3" priority="5" operator="containsText" text="DIFFERENT">
      <formula>NOT(ISERROR(SEARCH("DIFFERENT",K38)))</formula>
    </cfRule>
    <cfRule type="cellIs" dxfId="2" priority="6" operator="equal">
      <formula>"DIFFERENT"</formula>
    </cfRule>
  </conditionalFormatting>
  <conditionalFormatting sqref="K54:K57">
    <cfRule type="cellIs" dxfId="1" priority="2" operator="equal">
      <formula>"DIFFERENT"</formula>
    </cfRule>
  </conditionalFormatting>
  <conditionalFormatting sqref="K41:K53">
    <cfRule type="cellIs" dxfId="0" priority="1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&amp;LRevised: AJ&amp;R&amp;F -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31" t="s">
        <v>15</v>
      </c>
      <c r="F1" s="31"/>
    </row>
    <row r="2" spans="2:6" x14ac:dyDescent="0.25">
      <c r="E2" s="31"/>
      <c r="F2" s="31"/>
    </row>
    <row r="3" spans="2:6" x14ac:dyDescent="0.25">
      <c r="B3" t="s">
        <v>34</v>
      </c>
      <c r="E3" s="31" t="s">
        <v>20</v>
      </c>
      <c r="F3" s="31"/>
    </row>
    <row r="4" spans="2:6" x14ac:dyDescent="0.25">
      <c r="B4" t="s">
        <v>35</v>
      </c>
      <c r="E4" s="31" t="s">
        <v>30</v>
      </c>
      <c r="F4" s="31"/>
    </row>
    <row r="5" spans="2:6" x14ac:dyDescent="0.25">
      <c r="B5" t="s">
        <v>36</v>
      </c>
      <c r="E5" s="31" t="s">
        <v>16</v>
      </c>
      <c r="F5" s="31"/>
    </row>
    <row r="6" spans="2:6" x14ac:dyDescent="0.25">
      <c r="E6" s="31" t="s">
        <v>18</v>
      </c>
      <c r="F6" s="31"/>
    </row>
    <row r="7" spans="2:6" x14ac:dyDescent="0.25">
      <c r="E7" s="31" t="s">
        <v>29</v>
      </c>
      <c r="F7" s="31"/>
    </row>
    <row r="8" spans="2:6" x14ac:dyDescent="0.25">
      <c r="B8" t="s">
        <v>33</v>
      </c>
      <c r="E8" s="31" t="s">
        <v>19</v>
      </c>
      <c r="F8" s="31"/>
    </row>
    <row r="9" spans="2:6" x14ac:dyDescent="0.25">
      <c r="E9" s="31" t="s">
        <v>23</v>
      </c>
      <c r="F9" s="31"/>
    </row>
    <row r="10" spans="2:6" x14ac:dyDescent="0.25">
      <c r="B10" t="s">
        <v>37</v>
      </c>
      <c r="E10" s="31" t="s">
        <v>22</v>
      </c>
      <c r="F10" s="31"/>
    </row>
    <row r="11" spans="2:6" x14ac:dyDescent="0.25">
      <c r="E11" s="31" t="s">
        <v>27</v>
      </c>
      <c r="F11" s="31"/>
    </row>
    <row r="12" spans="2:6" x14ac:dyDescent="0.25">
      <c r="E12" s="31" t="s">
        <v>25</v>
      </c>
      <c r="F12" s="31"/>
    </row>
    <row r="13" spans="2:6" x14ac:dyDescent="0.25">
      <c r="E13" s="31" t="s">
        <v>24</v>
      </c>
      <c r="F13" s="31"/>
    </row>
    <row r="14" spans="2:6" x14ac:dyDescent="0.25">
      <c r="E14" s="31" t="s">
        <v>21</v>
      </c>
      <c r="F14" s="31"/>
    </row>
    <row r="15" spans="2:6" x14ac:dyDescent="0.25">
      <c r="E15" s="31" t="s">
        <v>26</v>
      </c>
      <c r="F15" s="31"/>
    </row>
    <row r="16" spans="2:6" x14ac:dyDescent="0.25">
      <c r="E16" s="31" t="s">
        <v>17</v>
      </c>
      <c r="F16" s="31"/>
    </row>
    <row r="17" spans="5:6" x14ac:dyDescent="0.25">
      <c r="E17" s="31" t="s">
        <v>28</v>
      </c>
      <c r="F17" s="31"/>
    </row>
    <row r="18" spans="5:6" x14ac:dyDescent="0.25">
      <c r="E18" s="31" t="s">
        <v>31</v>
      </c>
      <c r="F18" s="31"/>
    </row>
    <row r="19" spans="5:6" x14ac:dyDescent="0.25">
      <c r="E19" s="31" t="s">
        <v>32</v>
      </c>
      <c r="F19" s="31"/>
    </row>
    <row r="20" spans="5:6" x14ac:dyDescent="0.25">
      <c r="E20" s="31"/>
      <c r="F20" s="31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James, Alexandra (PCL)</cp:lastModifiedBy>
  <cp:lastPrinted>2017-03-08T18:46:28Z</cp:lastPrinted>
  <dcterms:created xsi:type="dcterms:W3CDTF">2012-02-13T23:35:12Z</dcterms:created>
  <dcterms:modified xsi:type="dcterms:W3CDTF">2017-03-10T22:32:25Z</dcterms:modified>
</cp:coreProperties>
</file>